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-15" windowWidth="12000" windowHeight="8745" tabRatio="863" activeTab="4"/>
  </bookViews>
  <sheets>
    <sheet name="Cover Sheet" sheetId="4" r:id="rId1"/>
    <sheet name="Theis" sheetId="5" r:id="rId2"/>
    <sheet name="HantushJacob" sheetId="6" r:id="rId3"/>
    <sheet name="Hantush" sheetId="27" r:id="rId4"/>
    <sheet name="Neuman" sheetId="25" r:id="rId5"/>
    <sheet name="Theis Data" sheetId="21" r:id="rId6"/>
    <sheet name="HantushJacob Data" sheetId="23" r:id="rId7"/>
    <sheet name="Hantush Data" sheetId="28" r:id="rId8"/>
    <sheet name="Neuman Data" sheetId="26" r:id="rId9"/>
  </sheets>
  <definedNames>
    <definedName name="_xlnm._FilterDatabase" localSheetId="0" hidden="1">'Cover Sheet'!$B$1:$C$2</definedName>
    <definedName name="solver_adj" localSheetId="2" hidden="1">HantushJacob!$F$17</definedName>
    <definedName name="solver_adj" localSheetId="4" hidden="1">Neuman!$G$16</definedName>
    <definedName name="solver_adj" localSheetId="1" hidden="1">Theis!$C$14</definedName>
    <definedName name="solver_cvg" localSheetId="2" hidden="1">0.0001</definedName>
    <definedName name="solver_cvg" localSheetId="4" hidden="1">0.0001</definedName>
    <definedName name="solver_cvg" localSheetId="1" hidden="1">0.00001</definedName>
    <definedName name="solver_drv" localSheetId="2" hidden="1">1</definedName>
    <definedName name="solver_drv" localSheetId="4" hidden="1">1</definedName>
    <definedName name="solver_drv" localSheetId="1" hidden="1">1</definedName>
    <definedName name="solver_est" localSheetId="2" hidden="1">1</definedName>
    <definedName name="solver_est" localSheetId="4" hidden="1">1</definedName>
    <definedName name="solver_est" localSheetId="1" hidden="1">1</definedName>
    <definedName name="solver_itr" localSheetId="2" hidden="1">100</definedName>
    <definedName name="solver_itr" localSheetId="4" hidden="1">100</definedName>
    <definedName name="solver_itr" localSheetId="1" hidden="1">100</definedName>
    <definedName name="solver_lhs1" localSheetId="1" hidden="1">Theis!#REF!</definedName>
    <definedName name="solver_lhs2" localSheetId="1" hidden="1">Theis!#REF!</definedName>
    <definedName name="solver_lhs3" localSheetId="1" hidden="1">Theis!#REF!</definedName>
    <definedName name="solver_lhs4" localSheetId="1" hidden="1">Theis!#REF!</definedName>
    <definedName name="solver_lhs5" localSheetId="1" hidden="1">Theis!#REF!</definedName>
    <definedName name="solver_lhs6" localSheetId="1" hidden="1">Theis!#REF!</definedName>
    <definedName name="solver_lin" localSheetId="2" hidden="1">2</definedName>
    <definedName name="solver_lin" localSheetId="4" hidden="1">2</definedName>
    <definedName name="solver_lin" localSheetId="1" hidden="1">2</definedName>
    <definedName name="solver_neg" localSheetId="2" hidden="1">2</definedName>
    <definedName name="solver_neg" localSheetId="4" hidden="1">2</definedName>
    <definedName name="solver_neg" localSheetId="1" hidden="1">2</definedName>
    <definedName name="solver_num" localSheetId="2" hidden="1">0</definedName>
    <definedName name="solver_num" localSheetId="4" hidden="1">0</definedName>
    <definedName name="solver_num" localSheetId="1" hidden="1">0</definedName>
    <definedName name="solver_nwt" localSheetId="2" hidden="1">1</definedName>
    <definedName name="solver_nwt" localSheetId="4" hidden="1">1</definedName>
    <definedName name="solver_nwt" localSheetId="1" hidden="1">1</definedName>
    <definedName name="solver_opt" localSheetId="2" hidden="1">HantushJacob!$E$54</definedName>
    <definedName name="solver_opt" localSheetId="4" hidden="1">Neuman!$F$53</definedName>
    <definedName name="solver_opt" localSheetId="1" hidden="1">Theis!$D$14</definedName>
    <definedName name="solver_pre" localSheetId="2" hidden="1">0.000001</definedName>
    <definedName name="solver_pre" localSheetId="4" hidden="1">0.000001</definedName>
    <definedName name="solver_pre" localSheetId="1" hidden="1">0.0000001</definedName>
    <definedName name="solver_rel1" localSheetId="1" hidden="1">3</definedName>
    <definedName name="solver_rel2" localSheetId="1" hidden="1">3</definedName>
    <definedName name="solver_rel3" localSheetId="1" hidden="1">3</definedName>
    <definedName name="solver_rel4" localSheetId="1" hidden="1">3</definedName>
    <definedName name="solver_rel5" localSheetId="1" hidden="1">3</definedName>
    <definedName name="solver_rel6" localSheetId="1" hidden="1">3</definedName>
    <definedName name="solver_rhs1" localSheetId="1" hidden="1">0.00001</definedName>
    <definedName name="solver_rhs2" localSheetId="1" hidden="1">0.00001</definedName>
    <definedName name="solver_rhs3" localSheetId="1" hidden="1">0.001</definedName>
    <definedName name="solver_rhs4" localSheetId="1" hidden="1">0.01</definedName>
    <definedName name="solver_rhs5" localSheetId="1" hidden="1">0.0001</definedName>
    <definedName name="solver_rhs6" localSheetId="1" hidden="1">0.00001</definedName>
    <definedName name="solver_scl" localSheetId="2" hidden="1">2</definedName>
    <definedName name="solver_scl" localSheetId="4" hidden="1">2</definedName>
    <definedName name="solver_scl" localSheetId="1" hidden="1">2</definedName>
    <definedName name="solver_sho" localSheetId="2" hidden="1">2</definedName>
    <definedName name="solver_sho" localSheetId="4" hidden="1">2</definedName>
    <definedName name="solver_sho" localSheetId="1" hidden="1">2</definedName>
    <definedName name="solver_tim" localSheetId="2" hidden="1">100</definedName>
    <definedName name="solver_tim" localSheetId="4" hidden="1">100</definedName>
    <definedName name="solver_tim" localSheetId="1" hidden="1">100</definedName>
    <definedName name="solver_tol" localSheetId="2" hidden="1">0.05</definedName>
    <definedName name="solver_tol" localSheetId="4" hidden="1">0.05</definedName>
    <definedName name="solver_tol" localSheetId="1" hidden="1">0.01</definedName>
    <definedName name="solver_typ" localSheetId="2" hidden="1">2</definedName>
    <definedName name="solver_typ" localSheetId="4" hidden="1">2</definedName>
    <definedName name="solver_typ" localSheetId="1" hidden="1">1</definedName>
    <definedName name="solver_val" localSheetId="2" hidden="1">0</definedName>
    <definedName name="solver_val" localSheetId="4" hidden="1">0</definedName>
    <definedName name="solver_val" localSheetId="1" hidden="1">0.05</definedName>
  </definedNames>
  <calcPr calcId="145621"/>
</workbook>
</file>

<file path=xl/calcChain.xml><?xml version="1.0" encoding="utf-8"?>
<calcChain xmlns="http://schemas.openxmlformats.org/spreadsheetml/2006/main">
  <c r="E15" i="27" l="1"/>
  <c r="S3" i="28"/>
  <c r="B18" i="28"/>
  <c r="B16" i="28"/>
  <c r="A5" i="28"/>
  <c r="B5" i="28" s="1"/>
  <c r="A4" i="28"/>
  <c r="B4" i="28" s="1"/>
  <c r="B3" i="28"/>
  <c r="A7" i="28" l="1"/>
  <c r="A6" i="28"/>
  <c r="A9" i="28" l="1"/>
  <c r="B7" i="28"/>
  <c r="B6" i="28"/>
  <c r="A8" i="28"/>
  <c r="Q21" i="28"/>
  <c r="P21" i="28"/>
  <c r="P18" i="28" s="1"/>
  <c r="P29" i="21" l="1"/>
  <c r="P4" i="21" s="1"/>
  <c r="Q6" i="28"/>
  <c r="Q17" i="28"/>
  <c r="Q11" i="28"/>
  <c r="Q4" i="28"/>
  <c r="Q9" i="28"/>
  <c r="Q3" i="28"/>
  <c r="Q12" i="28"/>
  <c r="Q5" i="28"/>
  <c r="Q18" i="28"/>
  <c r="Q13" i="28"/>
  <c r="Q7" i="28"/>
  <c r="Q15" i="28"/>
  <c r="Q14" i="28"/>
  <c r="Q8" i="28"/>
  <c r="Q16" i="28"/>
  <c r="Q10" i="28"/>
  <c r="B9" i="28"/>
  <c r="A11" i="28"/>
  <c r="B8" i="28"/>
  <c r="A10" i="28"/>
  <c r="O29" i="21"/>
  <c r="O5" i="21" s="1"/>
  <c r="P16" i="28"/>
  <c r="P17" i="21"/>
  <c r="P14" i="21"/>
  <c r="P9" i="21"/>
  <c r="P6" i="28"/>
  <c r="P4" i="28"/>
  <c r="P19" i="21"/>
  <c r="P16" i="21"/>
  <c r="P18" i="21"/>
  <c r="P13" i="21"/>
  <c r="P3" i="21"/>
  <c r="P15" i="21"/>
  <c r="P7" i="21"/>
  <c r="P3" i="28"/>
  <c r="P5" i="28"/>
  <c r="P8" i="28"/>
  <c r="Q3" i="23"/>
  <c r="M49" i="26"/>
  <c r="M29" i="26" s="1"/>
  <c r="P23" i="21" l="1"/>
  <c r="P21" i="21"/>
  <c r="P12" i="21"/>
  <c r="P5" i="21"/>
  <c r="P11" i="21"/>
  <c r="P6" i="21"/>
  <c r="O11" i="21"/>
  <c r="P20" i="21"/>
  <c r="P10" i="21"/>
  <c r="P8" i="21"/>
  <c r="P24" i="21"/>
  <c r="P25" i="21"/>
  <c r="P22" i="21"/>
  <c r="O19" i="21"/>
  <c r="B10" i="28"/>
  <c r="P10" i="28" s="1"/>
  <c r="A12" i="28"/>
  <c r="A13" i="28"/>
  <c r="B11" i="28"/>
  <c r="O18" i="21"/>
  <c r="O14" i="21"/>
  <c r="O3" i="21"/>
  <c r="O4" i="21"/>
  <c r="O16" i="21"/>
  <c r="O21" i="21"/>
  <c r="O12" i="21"/>
  <c r="O10" i="21"/>
  <c r="O8" i="21"/>
  <c r="O7" i="21"/>
  <c r="O15" i="21"/>
  <c r="O23" i="21"/>
  <c r="O20" i="21"/>
  <c r="O13" i="21"/>
  <c r="O6" i="21"/>
  <c r="O9" i="21"/>
  <c r="O17" i="21"/>
  <c r="O25" i="21"/>
  <c r="O24" i="21"/>
  <c r="O22" i="21"/>
  <c r="O24" i="23"/>
  <c r="P7" i="28"/>
  <c r="M36" i="26"/>
  <c r="M32" i="26"/>
  <c r="M45" i="26"/>
  <c r="M28" i="26"/>
  <c r="M41" i="26"/>
  <c r="M44" i="26"/>
  <c r="M40" i="26"/>
  <c r="M35" i="26"/>
  <c r="M31" i="26"/>
  <c r="M27" i="26"/>
  <c r="M38" i="26"/>
  <c r="M43" i="26"/>
  <c r="M39" i="26"/>
  <c r="M34" i="26"/>
  <c r="M30" i="26"/>
  <c r="M26" i="26"/>
  <c r="M46" i="26"/>
  <c r="M42" i="26"/>
  <c r="M37" i="26"/>
  <c r="M33" i="26"/>
  <c r="N23" i="26"/>
  <c r="M23" i="26"/>
  <c r="M20" i="26" s="1"/>
  <c r="P3" i="26"/>
  <c r="O29" i="23"/>
  <c r="O17" i="23" s="1"/>
  <c r="N29" i="23"/>
  <c r="N24" i="23" s="1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3" i="23"/>
  <c r="M29" i="21"/>
  <c r="M25" i="21" s="1"/>
  <c r="L29" i="21"/>
  <c r="L25" i="21" s="1"/>
  <c r="K29" i="21"/>
  <c r="K23" i="21" s="1"/>
  <c r="I29" i="21"/>
  <c r="I24" i="21" s="1"/>
  <c r="H29" i="21"/>
  <c r="H24" i="21" s="1"/>
  <c r="F29" i="21"/>
  <c r="F22" i="21" s="1"/>
  <c r="E29" i="21"/>
  <c r="E24" i="21" s="1"/>
  <c r="I25" i="21"/>
  <c r="H25" i="21"/>
  <c r="F25" i="21"/>
  <c r="E25" i="21"/>
  <c r="B25" i="21"/>
  <c r="F24" i="21"/>
  <c r="B24" i="21"/>
  <c r="F23" i="21"/>
  <c r="B23" i="21"/>
  <c r="B22" i="21"/>
  <c r="F21" i="21"/>
  <c r="E21" i="21"/>
  <c r="B21" i="21"/>
  <c r="F20" i="21"/>
  <c r="B20" i="21"/>
  <c r="F19" i="21"/>
  <c r="B19" i="21"/>
  <c r="B18" i="21"/>
  <c r="I17" i="21"/>
  <c r="F17" i="21"/>
  <c r="E17" i="21"/>
  <c r="B17" i="21"/>
  <c r="F16" i="21"/>
  <c r="B16" i="21"/>
  <c r="F15" i="21"/>
  <c r="B15" i="21"/>
  <c r="B14" i="21"/>
  <c r="F13" i="21"/>
  <c r="E13" i="21"/>
  <c r="B13" i="21"/>
  <c r="F12" i="21"/>
  <c r="B12" i="21"/>
  <c r="F11" i="21"/>
  <c r="B11" i="21"/>
  <c r="B10" i="21"/>
  <c r="F9" i="21"/>
  <c r="E9" i="21"/>
  <c r="B9" i="21"/>
  <c r="F8" i="21"/>
  <c r="B8" i="21"/>
  <c r="H7" i="21"/>
  <c r="F7" i="21"/>
  <c r="B7" i="21"/>
  <c r="B6" i="21"/>
  <c r="F5" i="21"/>
  <c r="E5" i="21"/>
  <c r="B5" i="21"/>
  <c r="F4" i="21"/>
  <c r="B4" i="21"/>
  <c r="F3" i="21"/>
  <c r="B3" i="21"/>
  <c r="G13" i="25"/>
  <c r="E13" i="6"/>
  <c r="B13" i="28" l="1"/>
  <c r="A15" i="28"/>
  <c r="B15" i="28" s="1"/>
  <c r="B12" i="28"/>
  <c r="P12" i="28" s="1"/>
  <c r="A14" i="28"/>
  <c r="I9" i="21"/>
  <c r="H17" i="21"/>
  <c r="H4" i="21"/>
  <c r="H5" i="21"/>
  <c r="H10" i="21"/>
  <c r="H13" i="21"/>
  <c r="H21" i="21"/>
  <c r="H3" i="21"/>
  <c r="I5" i="21"/>
  <c r="H8" i="21"/>
  <c r="H9" i="21"/>
  <c r="I13" i="21"/>
  <c r="I21" i="21"/>
  <c r="H6" i="21"/>
  <c r="N3" i="23"/>
  <c r="N5" i="23"/>
  <c r="N9" i="23"/>
  <c r="N15" i="23"/>
  <c r="O10" i="23"/>
  <c r="O18" i="23"/>
  <c r="O5" i="23"/>
  <c r="O7" i="23"/>
  <c r="O15" i="23"/>
  <c r="O19" i="23"/>
  <c r="O6" i="23"/>
  <c r="O14" i="23"/>
  <c r="O22" i="23"/>
  <c r="O11" i="23"/>
  <c r="O23" i="23"/>
  <c r="O12" i="23"/>
  <c r="O3" i="23"/>
  <c r="O21" i="23"/>
  <c r="H11" i="21"/>
  <c r="H12" i="21"/>
  <c r="H14" i="21"/>
  <c r="H15" i="21"/>
  <c r="H16" i="21"/>
  <c r="H18" i="21"/>
  <c r="H19" i="21"/>
  <c r="H20" i="21"/>
  <c r="H22" i="21"/>
  <c r="H23" i="21"/>
  <c r="O16" i="23"/>
  <c r="O9" i="23"/>
  <c r="O4" i="23"/>
  <c r="N7" i="23"/>
  <c r="N11" i="23"/>
  <c r="N13" i="23"/>
  <c r="N17" i="23"/>
  <c r="N19" i="23"/>
  <c r="N21" i="23"/>
  <c r="N23" i="23"/>
  <c r="I3" i="21"/>
  <c r="I4" i="21"/>
  <c r="I6" i="21"/>
  <c r="I7" i="21"/>
  <c r="I8" i="21"/>
  <c r="I10" i="21"/>
  <c r="I11" i="21"/>
  <c r="I12" i="21"/>
  <c r="I14" i="21"/>
  <c r="I15" i="21"/>
  <c r="I16" i="21"/>
  <c r="I18" i="21"/>
  <c r="I19" i="21"/>
  <c r="I20" i="21"/>
  <c r="I22" i="21"/>
  <c r="I23" i="21"/>
  <c r="N4" i="23"/>
  <c r="N6" i="23"/>
  <c r="N8" i="23"/>
  <c r="N10" i="23"/>
  <c r="N12" i="23"/>
  <c r="N14" i="23"/>
  <c r="N16" i="23"/>
  <c r="N18" i="23"/>
  <c r="N20" i="23"/>
  <c r="N22" i="23"/>
  <c r="O20" i="23"/>
  <c r="O13" i="23"/>
  <c r="O8" i="23"/>
  <c r="E4" i="21"/>
  <c r="E6" i="21"/>
  <c r="E10" i="21"/>
  <c r="E14" i="21"/>
  <c r="E18" i="21"/>
  <c r="E22" i="21"/>
  <c r="E3" i="21"/>
  <c r="F6" i="21"/>
  <c r="E7" i="21"/>
  <c r="F10" i="21"/>
  <c r="E11" i="21"/>
  <c r="F14" i="21"/>
  <c r="E15" i="21"/>
  <c r="F18" i="21"/>
  <c r="E19" i="21"/>
  <c r="E23" i="21"/>
  <c r="E8" i="21"/>
  <c r="E12" i="21"/>
  <c r="E16" i="21"/>
  <c r="E20" i="21"/>
  <c r="P9" i="28"/>
  <c r="N29" i="26"/>
  <c r="N33" i="26"/>
  <c r="N37" i="26"/>
  <c r="N41" i="26"/>
  <c r="N45" i="26"/>
  <c r="N30" i="26"/>
  <c r="N34" i="26"/>
  <c r="N38" i="26"/>
  <c r="N42" i="26"/>
  <c r="N46" i="26"/>
  <c r="N31" i="26"/>
  <c r="N35" i="26"/>
  <c r="N39" i="26"/>
  <c r="N43" i="26"/>
  <c r="N27" i="26"/>
  <c r="N28" i="26"/>
  <c r="N32" i="26"/>
  <c r="N36" i="26"/>
  <c r="N40" i="26"/>
  <c r="N44" i="26"/>
  <c r="M8" i="21"/>
  <c r="M16" i="21"/>
  <c r="M24" i="21"/>
  <c r="M6" i="21"/>
  <c r="M22" i="21"/>
  <c r="M4" i="21"/>
  <c r="M12" i="21"/>
  <c r="M20" i="21"/>
  <c r="M7" i="26"/>
  <c r="M10" i="21"/>
  <c r="M18" i="21"/>
  <c r="M9" i="26"/>
  <c r="M14" i="21"/>
  <c r="N26" i="26"/>
  <c r="N15" i="26"/>
  <c r="N19" i="26"/>
  <c r="N4" i="26"/>
  <c r="N9" i="26"/>
  <c r="N16" i="26"/>
  <c r="N6" i="26"/>
  <c r="N11" i="26"/>
  <c r="N20" i="26"/>
  <c r="N12" i="26"/>
  <c r="M3" i="21"/>
  <c r="M5" i="21"/>
  <c r="M7" i="21"/>
  <c r="M9" i="21"/>
  <c r="M11" i="21"/>
  <c r="M13" i="21"/>
  <c r="M15" i="21"/>
  <c r="M17" i="21"/>
  <c r="M19" i="21"/>
  <c r="M21" i="21"/>
  <c r="M23" i="21"/>
  <c r="M3" i="26"/>
  <c r="M5" i="26"/>
  <c r="N7" i="26"/>
  <c r="N10" i="26"/>
  <c r="N13" i="26"/>
  <c r="N17" i="26"/>
  <c r="N3" i="26"/>
  <c r="N5" i="26"/>
  <c r="N8" i="26"/>
  <c r="M11" i="26"/>
  <c r="N14" i="26"/>
  <c r="N18" i="26"/>
  <c r="M13" i="26"/>
  <c r="M15" i="26"/>
  <c r="M17" i="26"/>
  <c r="M19" i="26"/>
  <c r="K3" i="21"/>
  <c r="K5" i="21"/>
  <c r="K6" i="21"/>
  <c r="K7" i="21"/>
  <c r="K9" i="21"/>
  <c r="K11" i="21"/>
  <c r="K12" i="21"/>
  <c r="K14" i="21"/>
  <c r="K15" i="21"/>
  <c r="K16" i="21"/>
  <c r="K17" i="21"/>
  <c r="K18" i="21"/>
  <c r="K19" i="21"/>
  <c r="K20" i="21"/>
  <c r="K21" i="21"/>
  <c r="K22" i="21"/>
  <c r="K24" i="21"/>
  <c r="K25" i="21"/>
  <c r="L3" i="21"/>
  <c r="L4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M4" i="26"/>
  <c r="M6" i="26"/>
  <c r="M8" i="26"/>
  <c r="M10" i="26"/>
  <c r="M12" i="26"/>
  <c r="M14" i="26"/>
  <c r="M16" i="26"/>
  <c r="M18" i="26"/>
  <c r="K4" i="21"/>
  <c r="K8" i="21"/>
  <c r="K10" i="21"/>
  <c r="K13" i="21"/>
  <c r="A17" i="28" l="1"/>
  <c r="B17" i="28" s="1"/>
  <c r="P17" i="28" s="1"/>
  <c r="B14" i="28"/>
  <c r="P14" i="28" s="1"/>
  <c r="P11" i="28"/>
  <c r="P15" i="28" l="1"/>
  <c r="P13" i="28"/>
</calcChain>
</file>

<file path=xl/sharedStrings.xml><?xml version="1.0" encoding="utf-8"?>
<sst xmlns="http://schemas.openxmlformats.org/spreadsheetml/2006/main" count="93" uniqueCount="42">
  <si>
    <t>u</t>
  </si>
  <si>
    <t>1/u</t>
  </si>
  <si>
    <t>W</t>
  </si>
  <si>
    <t>t</t>
  </si>
  <si>
    <t>Q [L^3/T]</t>
  </si>
  <si>
    <t>r [L]</t>
  </si>
  <si>
    <t>T [l^2/T]</t>
  </si>
  <si>
    <t>S [ ]</t>
  </si>
  <si>
    <t>h_0 - h [L]</t>
  </si>
  <si>
    <t>Hantush-Jacob Curve</t>
  </si>
  <si>
    <t>Theis</t>
  </si>
  <si>
    <t>Lambda</t>
  </si>
  <si>
    <t>T [L^2/T]</t>
  </si>
  <si>
    <t>S_y [ ]</t>
  </si>
  <si>
    <t>Neuman solution</t>
  </si>
  <si>
    <t>eta:</t>
  </si>
  <si>
    <t>1/uA</t>
  </si>
  <si>
    <t>1/uB</t>
  </si>
  <si>
    <t>b [L]</t>
  </si>
  <si>
    <t>Modeled t</t>
  </si>
  <si>
    <t>Modeled h_0 - h</t>
  </si>
  <si>
    <t>r^2S/4T</t>
  </si>
  <si>
    <t>Q/4 pi T</t>
  </si>
  <si>
    <t>Observed</t>
  </si>
  <si>
    <t>Theis worksheet model</t>
  </si>
  <si>
    <t>h_0 - h</t>
  </si>
  <si>
    <t>Hantush-Jacob worksheet model</t>
  </si>
  <si>
    <r>
      <t xml:space="preserve">Selected </t>
    </r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</rPr>
      <t xml:space="preserve"> value</t>
    </r>
  </si>
  <si>
    <t>Neuman worksheet model</t>
  </si>
  <si>
    <t>t (early)</t>
  </si>
  <si>
    <t>t (late)</t>
  </si>
  <si>
    <t>r^2S_y/4T</t>
  </si>
  <si>
    <t>Selected Column</t>
  </si>
  <si>
    <t>Hantush Curves</t>
  </si>
  <si>
    <t>Hantush worksheet model</t>
  </si>
  <si>
    <t>Computed K'/b'</t>
  </si>
  <si>
    <t>Computed Kz/Kr</t>
  </si>
  <si>
    <r>
      <t xml:space="preserve">Selected </t>
    </r>
    <r>
      <rPr>
        <b/>
        <sz val="10"/>
        <rFont val="Symbol"/>
        <family val="1"/>
        <charset val="2"/>
      </rPr>
      <t xml:space="preserve">L </t>
    </r>
    <r>
      <rPr>
        <b/>
        <sz val="10"/>
        <rFont val="Arial"/>
        <family val="2"/>
      </rPr>
      <t>value</t>
    </r>
  </si>
  <si>
    <r>
      <t xml:space="preserve">Selected </t>
    </r>
    <r>
      <rPr>
        <b/>
        <sz val="10"/>
        <rFont val="Symbol"/>
        <family val="1"/>
        <charset val="2"/>
      </rPr>
      <t xml:space="preserve">P </t>
    </r>
    <r>
      <rPr>
        <b/>
        <sz val="10"/>
        <rFont val="Arial"/>
        <family val="2"/>
      </rPr>
      <t>value</t>
    </r>
  </si>
  <si>
    <t>P</t>
  </si>
  <si>
    <t xml:space="preserve">Computed Sqrt(K'S'/b') + Sqrt(K''S''/b'') </t>
  </si>
  <si>
    <t>t - t_0 [T]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</si>
</sst>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E+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11" fontId="0" fillId="0" borderId="0" xfId="0" applyNumberFormat="1"/>
    <xf numFmtId="0" fontId="2" fillId="0" borderId="0" xfId="0" applyFont="1"/>
    <xf numFmtId="0" fontId="1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1" fontId="1" fillId="0" borderId="0" xfId="0" applyNumberFormat="1" applyFont="1"/>
    <xf numFmtId="16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1" fontId="2" fillId="0" borderId="0" xfId="0" applyNumberFormat="1" applyFont="1"/>
    <xf numFmtId="167" fontId="2" fillId="0" borderId="0" xfId="0" applyNumberFormat="1" applyFont="1"/>
    <xf numFmtId="167" fontId="0" fillId="0" borderId="0" xfId="0" applyNumberFormat="1"/>
    <xf numFmtId="167" fontId="1" fillId="0" borderId="0" xfId="0" applyNumberFormat="1" applyFont="1"/>
    <xf numFmtId="0" fontId="0" fillId="2" borderId="0" xfId="0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165" fontId="2" fillId="0" borderId="0" xfId="0" applyNumberFormat="1" applyFont="1"/>
    <xf numFmtId="165" fontId="0" fillId="0" borderId="0" xfId="0" applyNumberFormat="1"/>
    <xf numFmtId="0" fontId="1" fillId="0" borderId="0" xfId="0" applyNumberFormat="1" applyFont="1" applyAlignment="1">
      <alignment horizontal="left"/>
    </xf>
    <xf numFmtId="2" fontId="1" fillId="2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2" fillId="0" borderId="0" xfId="0" applyNumberFormat="1" applyFont="1"/>
    <xf numFmtId="0" fontId="3" fillId="0" borderId="0" xfId="0" applyFont="1"/>
    <xf numFmtId="1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  <color rgb="FFFF6600"/>
      <color rgb="FFFFFF66"/>
      <color rgb="FFBAC8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Theis!$A$13</c:f>
              <c:strCache>
                <c:ptCount val="1"/>
                <c:pt idx="0">
                  <c:v>Observed</c:v>
                </c:pt>
              </c:strCache>
            </c:strRef>
          </c:tx>
          <c:spPr>
            <a:ln>
              <a:noFill/>
            </a:ln>
          </c:spPr>
          <c:xVal>
            <c:numRef>
              <c:f>Theis!$A$15:$A$107</c:f>
              <c:numCache>
                <c:formatCode>General</c:formatCode>
                <c:ptCount val="93"/>
                <c:pt idx="0">
                  <c:v>0.3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30</c:v>
                </c:pt>
                <c:pt idx="8">
                  <c:v>50</c:v>
                </c:pt>
                <c:pt idx="9">
                  <c:v>75</c:v>
                </c:pt>
                <c:pt idx="10">
                  <c:v>120</c:v>
                </c:pt>
                <c:pt idx="11">
                  <c:v>195</c:v>
                </c:pt>
              </c:numCache>
            </c:numRef>
          </c:xVal>
          <c:yVal>
            <c:numRef>
              <c:f>Theis!$B$15:$B$107</c:f>
              <c:numCache>
                <c:formatCode>0.000</c:formatCode>
                <c:ptCount val="93"/>
                <c:pt idx="0">
                  <c:v>7.0000000000000001E-3</c:v>
                </c:pt>
                <c:pt idx="1">
                  <c:v>0.06</c:v>
                </c:pt>
                <c:pt idx="2">
                  <c:v>0.1</c:v>
                </c:pt>
                <c:pt idx="3">
                  <c:v>0.2</c:v>
                </c:pt>
                <c:pt idx="4">
                  <c:v>0.27</c:v>
                </c:pt>
                <c:pt idx="5">
                  <c:v>0.31</c:v>
                </c:pt>
                <c:pt idx="6">
                  <c:v>0.34</c:v>
                </c:pt>
                <c:pt idx="7">
                  <c:v>0.39</c:v>
                </c:pt>
                <c:pt idx="8">
                  <c:v>0.44</c:v>
                </c:pt>
                <c:pt idx="9">
                  <c:v>0.48</c:v>
                </c:pt>
                <c:pt idx="10">
                  <c:v>0.53</c:v>
                </c:pt>
                <c:pt idx="11">
                  <c:v>0.57999999999999996</c:v>
                </c:pt>
              </c:numCache>
            </c:numRef>
          </c:yVal>
          <c:smooth val="1"/>
        </c:ser>
        <c:ser>
          <c:idx val="1"/>
          <c:order val="1"/>
          <c:tx>
            <c:v>Theis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'Theis Data'!$E$3:$E$25</c:f>
              <c:numCache>
                <c:formatCode>0.000E+00</c:formatCode>
                <c:ptCount val="23"/>
                <c:pt idx="0">
                  <c:v>51538.823529411762</c:v>
                </c:pt>
                <c:pt idx="1">
                  <c:v>25769.411764705881</c:v>
                </c:pt>
                <c:pt idx="2">
                  <c:v>12884.705882352941</c:v>
                </c:pt>
                <c:pt idx="3">
                  <c:v>7362.6890756302528</c:v>
                </c:pt>
                <c:pt idx="4">
                  <c:v>5153.8823529411766</c:v>
                </c:pt>
                <c:pt idx="5">
                  <c:v>2576.9411764705883</c:v>
                </c:pt>
                <c:pt idx="6">
                  <c:v>1288.4705882352941</c:v>
                </c:pt>
                <c:pt idx="7">
                  <c:v>736.26890756302532</c:v>
                </c:pt>
                <c:pt idx="8">
                  <c:v>515.38823529411775</c:v>
                </c:pt>
                <c:pt idx="9">
                  <c:v>257.69411764705887</c:v>
                </c:pt>
                <c:pt idx="10">
                  <c:v>128.84705882352944</c:v>
                </c:pt>
                <c:pt idx="11">
                  <c:v>73.626890756302529</c:v>
                </c:pt>
                <c:pt idx="12">
                  <c:v>51.538823529411772</c:v>
                </c:pt>
                <c:pt idx="13">
                  <c:v>25.769411764705886</c:v>
                </c:pt>
                <c:pt idx="14">
                  <c:v>12.884705882352943</c:v>
                </c:pt>
                <c:pt idx="15">
                  <c:v>7.3626890756302528</c:v>
                </c:pt>
                <c:pt idx="16">
                  <c:v>5.153882352941177</c:v>
                </c:pt>
                <c:pt idx="17">
                  <c:v>2.5769411764705885</c:v>
                </c:pt>
                <c:pt idx="18">
                  <c:v>1.2884705882352943</c:v>
                </c:pt>
                <c:pt idx="19">
                  <c:v>0.73626890756302532</c:v>
                </c:pt>
                <c:pt idx="20">
                  <c:v>0.5153882352941177</c:v>
                </c:pt>
                <c:pt idx="21">
                  <c:v>0.25769411764705885</c:v>
                </c:pt>
                <c:pt idx="22">
                  <c:v>0.12884705882352943</c:v>
                </c:pt>
              </c:numCache>
            </c:numRef>
          </c:xVal>
          <c:yVal>
            <c:numRef>
              <c:f>'Theis Data'!$F$3:$F$25</c:f>
              <c:numCache>
                <c:formatCode>0.000E+00</c:formatCode>
                <c:ptCount val="23"/>
                <c:pt idx="0">
                  <c:v>1.175279677262101</c:v>
                </c:pt>
                <c:pt idx="1">
                  <c:v>1.1000789666511805</c:v>
                </c:pt>
                <c:pt idx="2">
                  <c:v>1.0259525519061303</c:v>
                </c:pt>
                <c:pt idx="3">
                  <c:v>0.96579198341739392</c:v>
                </c:pt>
                <c:pt idx="4">
                  <c:v>0.92711733224606341</c:v>
                </c:pt>
                <c:pt idx="5">
                  <c:v>0.85299091750101308</c:v>
                </c:pt>
                <c:pt idx="6">
                  <c:v>0.77886450275596275</c:v>
                </c:pt>
                <c:pt idx="7">
                  <c:v>0.71870393426722634</c:v>
                </c:pt>
                <c:pt idx="8">
                  <c:v>0.68002928309589583</c:v>
                </c:pt>
                <c:pt idx="9">
                  <c:v>0.6059028683508455</c:v>
                </c:pt>
                <c:pt idx="10">
                  <c:v>0.53177645360579529</c:v>
                </c:pt>
                <c:pt idx="11">
                  <c:v>0.47161588511705882</c:v>
                </c:pt>
                <c:pt idx="12">
                  <c:v>0.43401552981159858</c:v>
                </c:pt>
                <c:pt idx="13">
                  <c:v>0.3598891150665483</c:v>
                </c:pt>
                <c:pt idx="14">
                  <c:v>0.28791129205323868</c:v>
                </c:pt>
                <c:pt idx="15">
                  <c:v>0.2309736111621131</c:v>
                </c:pt>
                <c:pt idx="16">
                  <c:v>0.19584413634815451</c:v>
                </c:pt>
                <c:pt idx="17">
                  <c:v>0.13138638439593692</c:v>
                </c:pt>
                <c:pt idx="18">
                  <c:v>7.5415569784094597E-2</c:v>
                </c:pt>
                <c:pt idx="19">
                  <c:v>4.017866538354898E-2</c:v>
                </c:pt>
                <c:pt idx="20">
                  <c:v>2.3527079462559428E-2</c:v>
                </c:pt>
                <c:pt idx="21">
                  <c:v>5.2640497427644383E-3</c:v>
                </c:pt>
                <c:pt idx="22">
                  <c:v>4.2971834634811739E-4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35584"/>
        <c:axId val="156437504"/>
      </c:scatterChart>
      <c:valAx>
        <c:axId val="156435584"/>
        <c:scaling>
          <c:logBase val="10"/>
          <c:orientation val="minMax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(time) </a:t>
                </a:r>
                <a:endParaRPr lang="en-US" baseline="0"/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156437504"/>
        <c:crosses val="max"/>
        <c:crossBetween val="midCat"/>
      </c:valAx>
      <c:valAx>
        <c:axId val="156437504"/>
        <c:scaling>
          <c:logBase val="10"/>
          <c:orientation val="minMax"/>
        </c:scaling>
        <c:delete val="0"/>
        <c:axPos val="r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h_0 - h (drawdown)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156435584"/>
        <c:crosses val="max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HantushJacob!$A$15</c:f>
              <c:strCache>
                <c:ptCount val="1"/>
                <c:pt idx="0">
                  <c:v>Observed</c:v>
                </c:pt>
              </c:strCache>
            </c:strRef>
          </c:tx>
          <c:spPr>
            <a:ln>
              <a:noFill/>
            </a:ln>
          </c:spPr>
          <c:xVal>
            <c:numRef>
              <c:f>HantushJacob!$A$17:$A$108</c:f>
              <c:numCache>
                <c:formatCode>0.0</c:formatCode>
                <c:ptCount val="92"/>
                <c:pt idx="0">
                  <c:v>2.2999999999999998</c:v>
                </c:pt>
                <c:pt idx="1">
                  <c:v>4.7</c:v>
                </c:pt>
                <c:pt idx="2">
                  <c:v>7.8333333333333339</c:v>
                </c:pt>
                <c:pt idx="3">
                  <c:v>11.75</c:v>
                </c:pt>
                <c:pt idx="4">
                  <c:v>23.5</c:v>
                </c:pt>
                <c:pt idx="5">
                  <c:v>47</c:v>
                </c:pt>
                <c:pt idx="6">
                  <c:v>78.333333333333343</c:v>
                </c:pt>
                <c:pt idx="7">
                  <c:v>117.5</c:v>
                </c:pt>
                <c:pt idx="8">
                  <c:v>235</c:v>
                </c:pt>
                <c:pt idx="9" formatCode="0.000">
                  <c:v>500</c:v>
                </c:pt>
              </c:numCache>
            </c:numRef>
          </c:xVal>
          <c:yVal>
            <c:numRef>
              <c:f>HantushJacob!$B$17:$B$108</c:f>
              <c:numCache>
                <c:formatCode>0.0000</c:formatCode>
                <c:ptCount val="92"/>
                <c:pt idx="0">
                  <c:v>3.0079999999999998E-3</c:v>
                </c:pt>
                <c:pt idx="1">
                  <c:v>1.3184E-2</c:v>
                </c:pt>
                <c:pt idx="2">
                  <c:v>2.656E-2</c:v>
                </c:pt>
                <c:pt idx="3">
                  <c:v>3.9744000000000002E-2</c:v>
                </c:pt>
                <c:pt idx="4">
                  <c:v>6.3743999999999995E-2</c:v>
                </c:pt>
                <c:pt idx="5">
                  <c:v>8.3839999999999998E-2</c:v>
                </c:pt>
                <c:pt idx="6">
                  <c:v>9.3439999999999995E-2</c:v>
                </c:pt>
                <c:pt idx="7">
                  <c:v>9.9000000000000005E-2</c:v>
                </c:pt>
                <c:pt idx="8">
                  <c:v>0.105</c:v>
                </c:pt>
                <c:pt idx="9" formatCode="0.000">
                  <c:v>0.109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'Theis Data'!$A$1</c:f>
              <c:strCache>
                <c:ptCount val="1"/>
                <c:pt idx="0">
                  <c:v>Theis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'Theis Data'!$H$3:$H$24</c:f>
              <c:numCache>
                <c:formatCode>0.000E+00</c:formatCode>
                <c:ptCount val="22"/>
                <c:pt idx="0">
                  <c:v>390361.44578313245</c:v>
                </c:pt>
                <c:pt idx="1">
                  <c:v>195180.72289156623</c:v>
                </c:pt>
                <c:pt idx="2">
                  <c:v>97590.361445783114</c:v>
                </c:pt>
                <c:pt idx="3">
                  <c:v>55765.92082616179</c:v>
                </c:pt>
                <c:pt idx="4">
                  <c:v>39036.144578313251</c:v>
                </c:pt>
                <c:pt idx="5">
                  <c:v>19518.072289156626</c:v>
                </c:pt>
                <c:pt idx="6">
                  <c:v>9759.0361445783128</c:v>
                </c:pt>
                <c:pt idx="7">
                  <c:v>5576.5920826161791</c:v>
                </c:pt>
                <c:pt idx="8">
                  <c:v>3903.6144578313251</c:v>
                </c:pt>
                <c:pt idx="9">
                  <c:v>1951.8072289156626</c:v>
                </c:pt>
                <c:pt idx="10">
                  <c:v>975.90361445783128</c:v>
                </c:pt>
                <c:pt idx="11">
                  <c:v>557.65920826161789</c:v>
                </c:pt>
                <c:pt idx="12">
                  <c:v>390.36144578313252</c:v>
                </c:pt>
                <c:pt idx="13">
                  <c:v>195.18072289156626</c:v>
                </c:pt>
                <c:pt idx="14">
                  <c:v>97.590361445783131</c:v>
                </c:pt>
                <c:pt idx="15">
                  <c:v>55.765920826161782</c:v>
                </c:pt>
                <c:pt idx="16">
                  <c:v>39.036144578313248</c:v>
                </c:pt>
                <c:pt idx="17">
                  <c:v>19.518072289156624</c:v>
                </c:pt>
                <c:pt idx="18">
                  <c:v>9.759036144578312</c:v>
                </c:pt>
                <c:pt idx="19">
                  <c:v>5.5765920826161786</c:v>
                </c:pt>
                <c:pt idx="20">
                  <c:v>3.903614457831325</c:v>
                </c:pt>
                <c:pt idx="21">
                  <c:v>1.9518072289156625</c:v>
                </c:pt>
              </c:numCache>
            </c:numRef>
          </c:xVal>
          <c:yVal>
            <c:numRef>
              <c:f>'Theis Data'!$I$3:$I$24</c:f>
              <c:numCache>
                <c:formatCode>0.000E+00</c:formatCode>
                <c:ptCount val="22"/>
                <c:pt idx="0">
                  <c:v>0.55431664778177159</c:v>
                </c:pt>
                <c:pt idx="1">
                  <c:v>0.51884848933138406</c:v>
                </c:pt>
                <c:pt idx="2">
                  <c:v>0.48388701885885921</c:v>
                </c:pt>
                <c:pt idx="3">
                  <c:v>0.4555124920985491</c:v>
                </c:pt>
                <c:pt idx="4">
                  <c:v>0.43727172489549265</c:v>
                </c:pt>
                <c:pt idx="5">
                  <c:v>0.40231025442296775</c:v>
                </c:pt>
                <c:pt idx="6">
                  <c:v>0.36734878395044285</c:v>
                </c:pt>
                <c:pt idx="7">
                  <c:v>0.3389742571901328</c:v>
                </c:pt>
                <c:pt idx="8">
                  <c:v>0.32073348998707629</c:v>
                </c:pt>
                <c:pt idx="9">
                  <c:v>0.28577201951455139</c:v>
                </c:pt>
                <c:pt idx="10">
                  <c:v>0.25081054904202649</c:v>
                </c:pt>
                <c:pt idx="11">
                  <c:v>0.22243602228171641</c:v>
                </c:pt>
                <c:pt idx="12">
                  <c:v>0.20470194305652262</c:v>
                </c:pt>
                <c:pt idx="13">
                  <c:v>0.16974047258399771</c:v>
                </c:pt>
                <c:pt idx="14">
                  <c:v>0.13579237806719818</c:v>
                </c:pt>
                <c:pt idx="15">
                  <c:v>0.10893791524047615</c:v>
                </c:pt>
                <c:pt idx="16">
                  <c:v>9.2369218364366512E-2</c:v>
                </c:pt>
                <c:pt idx="17">
                  <c:v>6.1967939692605736E-2</c:v>
                </c:pt>
                <c:pt idx="18">
                  <c:v>3.5569496045960117E-2</c:v>
                </c:pt>
                <c:pt idx="19">
                  <c:v>1.8950130372064222E-2</c:v>
                </c:pt>
                <c:pt idx="20">
                  <c:v>1.1096466715192687E-2</c:v>
                </c:pt>
                <c:pt idx="21">
                  <c:v>2.4827710915271309E-3</c:v>
                </c:pt>
              </c:numCache>
            </c:numRef>
          </c:yVal>
          <c:smooth val="1"/>
        </c:ser>
        <c:ser>
          <c:idx val="3"/>
          <c:order val="2"/>
          <c:tx>
            <c:v>Hantush-Jacob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'HantushJacob Data'!$N$3:$N$24</c:f>
              <c:numCache>
                <c:formatCode>0.000E+00</c:formatCode>
                <c:ptCount val="22"/>
                <c:pt idx="0">
                  <c:v>390361.44578313245</c:v>
                </c:pt>
                <c:pt idx="1">
                  <c:v>195180.72289156623</c:v>
                </c:pt>
                <c:pt idx="2">
                  <c:v>97590.361445783114</c:v>
                </c:pt>
                <c:pt idx="3">
                  <c:v>65060.240963855424</c:v>
                </c:pt>
                <c:pt idx="4">
                  <c:v>39036.144578313251</c:v>
                </c:pt>
                <c:pt idx="5">
                  <c:v>19518.072289156626</c:v>
                </c:pt>
                <c:pt idx="6">
                  <c:v>9759.0361445783128</c:v>
                </c:pt>
                <c:pt idx="7">
                  <c:v>6506.0240963855422</c:v>
                </c:pt>
                <c:pt idx="8">
                  <c:v>3903.6144578313251</c:v>
                </c:pt>
                <c:pt idx="9">
                  <c:v>1951.8072289156626</c:v>
                </c:pt>
                <c:pt idx="10">
                  <c:v>975.90361445783128</c:v>
                </c:pt>
                <c:pt idx="11">
                  <c:v>650.60240963855415</c:v>
                </c:pt>
                <c:pt idx="12">
                  <c:v>390.36144578313252</c:v>
                </c:pt>
                <c:pt idx="13">
                  <c:v>195.18072289156626</c:v>
                </c:pt>
                <c:pt idx="14">
                  <c:v>97.590361445783131</c:v>
                </c:pt>
                <c:pt idx="15">
                  <c:v>65.060240963855421</c:v>
                </c:pt>
                <c:pt idx="16">
                  <c:v>39.036144578313248</c:v>
                </c:pt>
                <c:pt idx="17">
                  <c:v>19.518072289156624</c:v>
                </c:pt>
                <c:pt idx="18">
                  <c:v>9.759036144578312</c:v>
                </c:pt>
                <c:pt idx="19">
                  <c:v>6.5060240963855422</c:v>
                </c:pt>
                <c:pt idx="20">
                  <c:v>3.903614457831325</c:v>
                </c:pt>
                <c:pt idx="21">
                  <c:v>1.9518072289156625</c:v>
                </c:pt>
              </c:numCache>
            </c:numRef>
          </c:xVal>
          <c:yVal>
            <c:numRef>
              <c:f>'HantushJacob Data'!$O$3:$O$24</c:f>
              <c:numCache>
                <c:formatCode>General</c:formatCode>
                <c:ptCount val="22"/>
                <c:pt idx="0">
                  <c:v>0.11299141906337759</c:v>
                </c:pt>
                <c:pt idx="1">
                  <c:v>0.11299141906337759</c:v>
                </c:pt>
                <c:pt idx="2">
                  <c:v>0.11299141906337759</c:v>
                </c:pt>
                <c:pt idx="3">
                  <c:v>0.11299141906337759</c:v>
                </c:pt>
                <c:pt idx="4">
                  <c:v>0.11299141906337759</c:v>
                </c:pt>
                <c:pt idx="5">
                  <c:v>0.11299141906337759</c:v>
                </c:pt>
                <c:pt idx="6">
                  <c:v>0.11299141906337759</c:v>
                </c:pt>
                <c:pt idx="7">
                  <c:v>0.11299141906337759</c:v>
                </c:pt>
                <c:pt idx="8">
                  <c:v>0.11299141906337759</c:v>
                </c:pt>
                <c:pt idx="9">
                  <c:v>0.11299141906337759</c:v>
                </c:pt>
                <c:pt idx="10">
                  <c:v>0.11299141906337759</c:v>
                </c:pt>
                <c:pt idx="11">
                  <c:v>0.11299141906337759</c:v>
                </c:pt>
                <c:pt idx="12">
                  <c:v>0.11299141906337759</c:v>
                </c:pt>
                <c:pt idx="13">
                  <c:v>0.11045797917406419</c:v>
                </c:pt>
                <c:pt idx="14">
                  <c:v>0.10235097152826131</c:v>
                </c:pt>
                <c:pt idx="15">
                  <c:v>9.3737275904595754E-2</c:v>
                </c:pt>
                <c:pt idx="16">
                  <c:v>7.9043324546578045E-2</c:v>
                </c:pt>
                <c:pt idx="17">
                  <c:v>5.624236554275746E-2</c:v>
                </c:pt>
                <c:pt idx="18">
                  <c:v>3.3694750527868203E-2</c:v>
                </c:pt>
                <c:pt idx="19">
                  <c:v>2.2091595834812839E-2</c:v>
                </c:pt>
                <c:pt idx="20">
                  <c:v>1.0792453928475079E-2</c:v>
                </c:pt>
                <c:pt idx="2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60768"/>
        <c:axId val="156640768"/>
      </c:scatterChart>
      <c:valAx>
        <c:axId val="156560768"/>
        <c:scaling>
          <c:logBase val="10"/>
          <c:orientation val="minMax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(time)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33530561311415019"/>
              <c:y val="2.4282917016325341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crossAx val="156640768"/>
        <c:crosses val="max"/>
        <c:crossBetween val="midCat"/>
      </c:valAx>
      <c:valAx>
        <c:axId val="156640768"/>
        <c:scaling>
          <c:logBase val="10"/>
          <c:orientation val="minMax"/>
        </c:scaling>
        <c:delete val="0"/>
        <c:axPos val="r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h_0 - h (drawdown)</a:t>
                </a:r>
              </a:p>
            </c:rich>
          </c:tx>
          <c:overlay val="0"/>
        </c:title>
        <c:numFmt formatCode="0.0E+00" sourceLinked="0"/>
        <c:majorTickMark val="out"/>
        <c:minorTickMark val="none"/>
        <c:tickLblPos val="nextTo"/>
        <c:crossAx val="156560768"/>
        <c:crosses val="max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Hantush!$A$16</c:f>
              <c:strCache>
                <c:ptCount val="1"/>
                <c:pt idx="0">
                  <c:v>Observed</c:v>
                </c:pt>
              </c:strCache>
            </c:strRef>
          </c:tx>
          <c:spPr>
            <a:ln>
              <a:noFill/>
            </a:ln>
          </c:spPr>
          <c:xVal>
            <c:numRef>
              <c:f>Hantush!$A$18:$A$109</c:f>
              <c:numCache>
                <c:formatCode>0.000</c:formatCode>
                <c:ptCount val="92"/>
                <c:pt idx="0">
                  <c:v>0.05</c:v>
                </c:pt>
                <c:pt idx="1">
                  <c:v>0.1</c:v>
                </c:pt>
                <c:pt idx="2">
                  <c:v>0.25</c:v>
                </c:pt>
                <c:pt idx="3">
                  <c:v>1.05</c:v>
                </c:pt>
                <c:pt idx="4">
                  <c:v>7.1433333299999999</c:v>
                </c:pt>
                <c:pt idx="5">
                  <c:v>31.8</c:v>
                </c:pt>
                <c:pt idx="6">
                  <c:v>674</c:v>
                </c:pt>
              </c:numCache>
            </c:numRef>
          </c:xVal>
          <c:yVal>
            <c:numRef>
              <c:f>Hantush!$B$18:$B$109</c:f>
              <c:numCache>
                <c:formatCode>0.00E+00</c:formatCode>
                <c:ptCount val="92"/>
                <c:pt idx="0">
                  <c:v>1.6000000000000001E-4</c:v>
                </c:pt>
                <c:pt idx="1">
                  <c:v>5.0000000000000001E-4</c:v>
                </c:pt>
                <c:pt idx="2" formatCode="0.0000">
                  <c:v>1.2999999999999999E-3</c:v>
                </c:pt>
                <c:pt idx="3" formatCode="0.0000">
                  <c:v>4.3E-3</c:v>
                </c:pt>
                <c:pt idx="4" formatCode="0.0000">
                  <c:v>1.2E-2</c:v>
                </c:pt>
                <c:pt idx="5" formatCode="0.0000">
                  <c:v>1.7999999999999999E-2</c:v>
                </c:pt>
                <c:pt idx="6" formatCode="0.0000">
                  <c:v>3.6999999999999998E-2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'Theis Data'!$A$1</c:f>
              <c:strCache>
                <c:ptCount val="1"/>
                <c:pt idx="0">
                  <c:v>Theis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'Theis Data'!$O$3:$O$25</c:f>
              <c:numCache>
                <c:formatCode>0.000E+00</c:formatCode>
                <c:ptCount val="23"/>
                <c:pt idx="0">
                  <c:v>4687.4999999999991</c:v>
                </c:pt>
                <c:pt idx="1">
                  <c:v>2343.7499999999995</c:v>
                </c:pt>
                <c:pt idx="2">
                  <c:v>1171.8749999999998</c:v>
                </c:pt>
                <c:pt idx="3">
                  <c:v>669.64285714285711</c:v>
                </c:pt>
                <c:pt idx="4">
                  <c:v>468.75</c:v>
                </c:pt>
                <c:pt idx="5">
                  <c:v>234.375</c:v>
                </c:pt>
                <c:pt idx="6">
                  <c:v>117.1875</c:v>
                </c:pt>
                <c:pt idx="7">
                  <c:v>66.964285714285722</c:v>
                </c:pt>
                <c:pt idx="8">
                  <c:v>46.875</c:v>
                </c:pt>
                <c:pt idx="9">
                  <c:v>23.4375</c:v>
                </c:pt>
                <c:pt idx="10">
                  <c:v>11.71875</c:v>
                </c:pt>
                <c:pt idx="11">
                  <c:v>6.6964285714285712</c:v>
                </c:pt>
                <c:pt idx="12">
                  <c:v>4.6875</c:v>
                </c:pt>
                <c:pt idx="13">
                  <c:v>2.34375</c:v>
                </c:pt>
                <c:pt idx="14">
                  <c:v>1.171875</c:v>
                </c:pt>
                <c:pt idx="15">
                  <c:v>0.6696428571428571</c:v>
                </c:pt>
                <c:pt idx="16">
                  <c:v>0.46875</c:v>
                </c:pt>
                <c:pt idx="17">
                  <c:v>0.234375</c:v>
                </c:pt>
                <c:pt idx="18">
                  <c:v>0.1171875</c:v>
                </c:pt>
                <c:pt idx="19">
                  <c:v>6.6964285714285712E-2</c:v>
                </c:pt>
                <c:pt idx="20">
                  <c:v>4.6875E-2</c:v>
                </c:pt>
                <c:pt idx="21">
                  <c:v>2.34375E-2</c:v>
                </c:pt>
                <c:pt idx="22">
                  <c:v>1.171875E-2</c:v>
                </c:pt>
              </c:numCache>
            </c:numRef>
          </c:xVal>
          <c:yVal>
            <c:numRef>
              <c:f>'Theis Data'!$P$3:$P$25</c:f>
              <c:numCache>
                <c:formatCode>0.000E+00</c:formatCode>
                <c:ptCount val="23"/>
                <c:pt idx="0">
                  <c:v>0.15336093921962349</c:v>
                </c:pt>
                <c:pt idx="1">
                  <c:v>0.1435480820483496</c:v>
                </c:pt>
                <c:pt idx="2">
                  <c:v>0.13387540855095106</c:v>
                </c:pt>
                <c:pt idx="3">
                  <c:v>0.12602512281393194</c:v>
                </c:pt>
                <c:pt idx="4">
                  <c:v>0.12097851055441965</c:v>
                </c:pt>
                <c:pt idx="5">
                  <c:v>0.11130583705702109</c:v>
                </c:pt>
                <c:pt idx="6">
                  <c:v>0.10163316355962251</c:v>
                </c:pt>
                <c:pt idx="7">
                  <c:v>9.3782877822603403E-2</c:v>
                </c:pt>
                <c:pt idx="8">
                  <c:v>8.873626556309111E-2</c:v>
                </c:pt>
                <c:pt idx="9">
                  <c:v>7.9063592065692551E-2</c:v>
                </c:pt>
                <c:pt idx="10">
                  <c:v>6.9390918568294005E-2</c:v>
                </c:pt>
                <c:pt idx="11">
                  <c:v>6.1540632831274873E-2</c:v>
                </c:pt>
                <c:pt idx="12">
                  <c:v>5.6634204245637927E-2</c:v>
                </c:pt>
                <c:pt idx="13">
                  <c:v>4.6961530748239375E-2</c:v>
                </c:pt>
                <c:pt idx="14">
                  <c:v>3.7569224598591501E-2</c:v>
                </c:pt>
                <c:pt idx="15">
                  <c:v>3.0139489883198402E-2</c:v>
                </c:pt>
                <c:pt idx="16">
                  <c:v>2.5555483747474739E-2</c:v>
                </c:pt>
                <c:pt idx="17">
                  <c:v>1.7144463314954256E-2</c:v>
                </c:pt>
                <c:pt idx="18">
                  <c:v>9.8408939060489666E-3</c:v>
                </c:pt>
                <c:pt idx="19">
                  <c:v>5.2428694029377689E-3</c:v>
                </c:pt>
                <c:pt idx="20">
                  <c:v>3.0700224578699767E-3</c:v>
                </c:pt>
                <c:pt idx="21">
                  <c:v>6.8690000198917288E-4</c:v>
                </c:pt>
                <c:pt idx="22">
                  <c:v>5.6073469550136562E-5</c:v>
                </c:pt>
              </c:numCache>
            </c:numRef>
          </c:yVal>
          <c:smooth val="1"/>
        </c:ser>
        <c:ser>
          <c:idx val="3"/>
          <c:order val="2"/>
          <c:tx>
            <c:v>Hantush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'Hantush Data'!$P$3:$P$17</c:f>
              <c:numCache>
                <c:formatCode>0.000E+00</c:formatCode>
                <c:ptCount val="15"/>
                <c:pt idx="0">
                  <c:v>46875</c:v>
                </c:pt>
                <c:pt idx="1">
                  <c:v>9374.9999999999982</c:v>
                </c:pt>
                <c:pt idx="2">
                  <c:v>4687.5000000000009</c:v>
                </c:pt>
                <c:pt idx="3">
                  <c:v>937.5</c:v>
                </c:pt>
                <c:pt idx="4">
                  <c:v>468.75</c:v>
                </c:pt>
                <c:pt idx="5">
                  <c:v>93.75</c:v>
                </c:pt>
                <c:pt idx="6">
                  <c:v>46.875</c:v>
                </c:pt>
                <c:pt idx="7">
                  <c:v>9.375</c:v>
                </c:pt>
                <c:pt idx="8">
                  <c:v>4.6875</c:v>
                </c:pt>
                <c:pt idx="9">
                  <c:v>0.9375</c:v>
                </c:pt>
                <c:pt idx="10">
                  <c:v>0.46875</c:v>
                </c:pt>
                <c:pt idx="11">
                  <c:v>9.375E-2</c:v>
                </c:pt>
                <c:pt idx="12">
                  <c:v>4.6875E-2</c:v>
                </c:pt>
                <c:pt idx="13">
                  <c:v>2.34375E-2</c:v>
                </c:pt>
                <c:pt idx="14">
                  <c:v>9.3750000000000014E-3</c:v>
                </c:pt>
              </c:numCache>
            </c:numRef>
          </c:xVal>
          <c:yVal>
            <c:numRef>
              <c:f>'Hantush Data'!$Q$3:$Q$17</c:f>
              <c:numCache>
                <c:formatCode>General</c:formatCode>
                <c:ptCount val="15"/>
                <c:pt idx="0">
                  <c:v>6.5493812434559498E-2</c:v>
                </c:pt>
                <c:pt idx="1">
                  <c:v>5.4447338933182599E-2</c:v>
                </c:pt>
                <c:pt idx="2">
                  <c:v>4.9737167490971131E-2</c:v>
                </c:pt>
                <c:pt idx="3">
                  <c:v>3.9041153174282583E-2</c:v>
                </c:pt>
                <c:pt idx="4">
                  <c:v>3.4569293977659191E-2</c:v>
                </c:pt>
                <c:pt idx="5">
                  <c:v>2.4672326602060087E-2</c:v>
                </c:pt>
                <c:pt idx="6">
                  <c:v>2.0719146998775459E-2</c:v>
                </c:pt>
                <c:pt idx="7">
                  <c:v>1.2497374525986685E-2</c:v>
                </c:pt>
                <c:pt idx="8">
                  <c:v>9.4974439050543799E-3</c:v>
                </c:pt>
                <c:pt idx="9">
                  <c:v>4.0975687873762295E-3</c:v>
                </c:pt>
                <c:pt idx="10">
                  <c:v>2.507885925629858E-3</c:v>
                </c:pt>
                <c:pt idx="11">
                  <c:v>4.555969400948596E-4</c:v>
                </c:pt>
                <c:pt idx="12">
                  <c:v>1.3037081670406751E-4</c:v>
                </c:pt>
                <c:pt idx="13">
                  <c:v>2.4251775580434062E-5</c:v>
                </c:pt>
                <c:pt idx="14">
                  <c:v>4.2055102162602425E-7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185600"/>
        <c:axId val="162187520"/>
      </c:scatterChart>
      <c:valAx>
        <c:axId val="162185600"/>
        <c:scaling>
          <c:logBase val="10"/>
          <c:orientation val="minMax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(time)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33530561311415019"/>
              <c:y val="2.4282917016325341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crossAx val="162187520"/>
        <c:crosses val="max"/>
        <c:crossBetween val="midCat"/>
      </c:valAx>
      <c:valAx>
        <c:axId val="162187520"/>
        <c:scaling>
          <c:logBase val="10"/>
          <c:orientation val="minMax"/>
        </c:scaling>
        <c:delete val="0"/>
        <c:axPos val="r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h_0 - h (drawdown)</a:t>
                </a:r>
              </a:p>
            </c:rich>
          </c:tx>
          <c:layout/>
          <c:overlay val="0"/>
        </c:title>
        <c:numFmt formatCode="0.0E+00" sourceLinked="0"/>
        <c:majorTickMark val="out"/>
        <c:minorTickMark val="none"/>
        <c:tickLblPos val="nextTo"/>
        <c:crossAx val="162185600"/>
        <c:crosses val="max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Neuman!$A$13</c:f>
              <c:strCache>
                <c:ptCount val="1"/>
                <c:pt idx="0">
                  <c:v>Observed</c:v>
                </c:pt>
              </c:strCache>
            </c:strRef>
          </c:tx>
          <c:spPr>
            <a:ln>
              <a:noFill/>
            </a:ln>
          </c:spPr>
          <c:xVal>
            <c:numRef>
              <c:f>Neuman!$A$15:$A$107</c:f>
              <c:numCache>
                <c:formatCode>0.0</c:formatCode>
                <c:ptCount val="93"/>
                <c:pt idx="0">
                  <c:v>23.5</c:v>
                </c:pt>
                <c:pt idx="1">
                  <c:v>47</c:v>
                </c:pt>
                <c:pt idx="2">
                  <c:v>78.333333333333343</c:v>
                </c:pt>
                <c:pt idx="3">
                  <c:v>117.5</c:v>
                </c:pt>
                <c:pt idx="4">
                  <c:v>235</c:v>
                </c:pt>
                <c:pt idx="5">
                  <c:v>470</c:v>
                </c:pt>
                <c:pt idx="6">
                  <c:v>783.33333333333337</c:v>
                </c:pt>
                <c:pt idx="7">
                  <c:v>1175</c:v>
                </c:pt>
                <c:pt idx="8">
                  <c:v>2350</c:v>
                </c:pt>
                <c:pt idx="9">
                  <c:v>4087</c:v>
                </c:pt>
                <c:pt idx="10">
                  <c:v>7476</c:v>
                </c:pt>
                <c:pt idx="11">
                  <c:v>12362</c:v>
                </c:pt>
              </c:numCache>
            </c:numRef>
          </c:xVal>
          <c:yVal>
            <c:numRef>
              <c:f>Neuman!$B$15:$B$107</c:f>
              <c:numCache>
                <c:formatCode>0.0000</c:formatCode>
                <c:ptCount val="93"/>
                <c:pt idx="0">
                  <c:v>3.0079999999999998E-3</c:v>
                </c:pt>
                <c:pt idx="1">
                  <c:v>1.3184E-2</c:v>
                </c:pt>
                <c:pt idx="2">
                  <c:v>2.656E-2</c:v>
                </c:pt>
                <c:pt idx="3">
                  <c:v>3.9744000000000002E-2</c:v>
                </c:pt>
                <c:pt idx="4">
                  <c:v>6.3743999999999995E-2</c:v>
                </c:pt>
                <c:pt idx="5">
                  <c:v>8.3839999999999998E-2</c:v>
                </c:pt>
                <c:pt idx="6">
                  <c:v>9.3439999999999995E-2</c:v>
                </c:pt>
                <c:pt idx="7">
                  <c:v>9.7280000000000005E-2</c:v>
                </c:pt>
                <c:pt idx="8">
                  <c:v>0.107</c:v>
                </c:pt>
                <c:pt idx="9">
                  <c:v>0.11646028291182209</c:v>
                </c:pt>
                <c:pt idx="10">
                  <c:v>0.13200000000000001</c:v>
                </c:pt>
                <c:pt idx="11">
                  <c:v>0.14699999999999999</c:v>
                </c:pt>
              </c:numCache>
            </c:numRef>
          </c:yVal>
          <c:smooth val="1"/>
        </c:ser>
        <c:ser>
          <c:idx val="1"/>
          <c:order val="1"/>
          <c:tx>
            <c:v>Theis early time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'Theis Data'!$K$3:$K$24</c:f>
              <c:numCache>
                <c:formatCode>0.000E+00</c:formatCode>
                <c:ptCount val="22"/>
                <c:pt idx="0">
                  <c:v>4319999.9999999991</c:v>
                </c:pt>
                <c:pt idx="1">
                  <c:v>2159999.9999999995</c:v>
                </c:pt>
                <c:pt idx="2">
                  <c:v>1079999.9999999998</c:v>
                </c:pt>
                <c:pt idx="3">
                  <c:v>617142.85714285716</c:v>
                </c:pt>
                <c:pt idx="4">
                  <c:v>431999.99999999994</c:v>
                </c:pt>
                <c:pt idx="5">
                  <c:v>215999.99999999997</c:v>
                </c:pt>
                <c:pt idx="6">
                  <c:v>107999.99999999999</c:v>
                </c:pt>
                <c:pt idx="7">
                  <c:v>61714.28571428571</c:v>
                </c:pt>
                <c:pt idx="8">
                  <c:v>43199.999999999993</c:v>
                </c:pt>
                <c:pt idx="9">
                  <c:v>21599.999999999996</c:v>
                </c:pt>
                <c:pt idx="10">
                  <c:v>10799.999999999998</c:v>
                </c:pt>
                <c:pt idx="11">
                  <c:v>6171.4285714285706</c:v>
                </c:pt>
                <c:pt idx="12">
                  <c:v>4320</c:v>
                </c:pt>
                <c:pt idx="13">
                  <c:v>2160</c:v>
                </c:pt>
                <c:pt idx="14">
                  <c:v>1080</c:v>
                </c:pt>
                <c:pt idx="15">
                  <c:v>617.142857142857</c:v>
                </c:pt>
                <c:pt idx="16">
                  <c:v>431.99999999999994</c:v>
                </c:pt>
                <c:pt idx="17">
                  <c:v>215.99999999999997</c:v>
                </c:pt>
                <c:pt idx="18">
                  <c:v>107.99999999999999</c:v>
                </c:pt>
                <c:pt idx="19">
                  <c:v>61.714285714285708</c:v>
                </c:pt>
                <c:pt idx="20">
                  <c:v>43.199999999999996</c:v>
                </c:pt>
                <c:pt idx="21">
                  <c:v>21.599999999999998</c:v>
                </c:pt>
              </c:numCache>
            </c:numRef>
          </c:xVal>
          <c:yVal>
            <c:numRef>
              <c:f>'Theis Data'!$M$3:$M$24</c:f>
              <c:numCache>
                <c:formatCode>0.000E+00</c:formatCode>
                <c:ptCount val="22"/>
                <c:pt idx="0">
                  <c:v>0.61344375687849395</c:v>
                </c:pt>
                <c:pt idx="1">
                  <c:v>0.57419232819339838</c:v>
                </c:pt>
                <c:pt idx="2">
                  <c:v>0.53550163420380426</c:v>
                </c:pt>
                <c:pt idx="3">
                  <c:v>0.50410049125572776</c:v>
                </c:pt>
                <c:pt idx="4">
                  <c:v>0.48391404221767859</c:v>
                </c:pt>
                <c:pt idx="5">
                  <c:v>0.44522334822808435</c:v>
                </c:pt>
                <c:pt idx="6">
                  <c:v>0.40653265423849005</c:v>
                </c:pt>
                <c:pt idx="7">
                  <c:v>0.37513151129041361</c:v>
                </c:pt>
                <c:pt idx="8">
                  <c:v>0.35494506225236444</c:v>
                </c:pt>
                <c:pt idx="9">
                  <c:v>0.3162543682627702</c:v>
                </c:pt>
                <c:pt idx="10">
                  <c:v>0.27756367427317602</c:v>
                </c:pt>
                <c:pt idx="11">
                  <c:v>0.24616253132509949</c:v>
                </c:pt>
                <c:pt idx="12">
                  <c:v>0.22653681698255171</c:v>
                </c:pt>
                <c:pt idx="13">
                  <c:v>0.1878461229929575</c:v>
                </c:pt>
                <c:pt idx="14">
                  <c:v>0.150276898394366</c:v>
                </c:pt>
                <c:pt idx="15">
                  <c:v>0.12055795953279361</c:v>
                </c:pt>
                <c:pt idx="16">
                  <c:v>0.10222193498989895</c:v>
                </c:pt>
                <c:pt idx="17">
                  <c:v>6.8577853259817023E-2</c:v>
                </c:pt>
                <c:pt idx="18">
                  <c:v>3.9363575624195866E-2</c:v>
                </c:pt>
                <c:pt idx="19">
                  <c:v>2.0971477611751076E-2</c:v>
                </c:pt>
                <c:pt idx="20">
                  <c:v>1.2280089831479907E-2</c:v>
                </c:pt>
                <c:pt idx="21">
                  <c:v>2.7476000079566915E-3</c:v>
                </c:pt>
              </c:numCache>
            </c:numRef>
          </c:yVal>
          <c:smooth val="1"/>
        </c:ser>
        <c:ser>
          <c:idx val="3"/>
          <c:order val="2"/>
          <c:tx>
            <c:v>Neuman Early Time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'Neuman Data'!$M$3:$M$20</c:f>
              <c:numCache>
                <c:formatCode>0.000E+00</c:formatCode>
                <c:ptCount val="18"/>
                <c:pt idx="0">
                  <c:v>17.279999999999998</c:v>
                </c:pt>
                <c:pt idx="1">
                  <c:v>34.559999999999995</c:v>
                </c:pt>
                <c:pt idx="2">
                  <c:v>60.47999999999999</c:v>
                </c:pt>
                <c:pt idx="3">
                  <c:v>103.67999999999999</c:v>
                </c:pt>
                <c:pt idx="4">
                  <c:v>172.79999999999998</c:v>
                </c:pt>
                <c:pt idx="5">
                  <c:v>345.59999999999997</c:v>
                </c:pt>
                <c:pt idx="6">
                  <c:v>604.79999999999995</c:v>
                </c:pt>
                <c:pt idx="7">
                  <c:v>1036.8</c:v>
                </c:pt>
                <c:pt idx="8">
                  <c:v>1727.9999999999998</c:v>
                </c:pt>
                <c:pt idx="9">
                  <c:v>3455.9999999999995</c:v>
                </c:pt>
                <c:pt idx="10">
                  <c:v>6047.9999999999991</c:v>
                </c:pt>
                <c:pt idx="11">
                  <c:v>10367.999999999998</c:v>
                </c:pt>
                <c:pt idx="12">
                  <c:v>17280</c:v>
                </c:pt>
                <c:pt idx="13">
                  <c:v>34560</c:v>
                </c:pt>
                <c:pt idx="14">
                  <c:v>60479.999999999993</c:v>
                </c:pt>
                <c:pt idx="15">
                  <c:v>103679.99999999999</c:v>
                </c:pt>
                <c:pt idx="16">
                  <c:v>172799.99999999997</c:v>
                </c:pt>
                <c:pt idx="17">
                  <c:v>345599.99999999994</c:v>
                </c:pt>
              </c:numCache>
            </c:numRef>
          </c:xVal>
          <c:yVal>
            <c:numRef>
              <c:f>'Neuman Data'!$N$3:$N$20</c:f>
              <c:numCache>
                <c:formatCode>0.000E+00</c:formatCode>
                <c:ptCount val="18"/>
                <c:pt idx="0">
                  <c:v>1.2896897996531409E-3</c:v>
                </c:pt>
                <c:pt idx="1">
                  <c:v>7.3456245110678896E-3</c:v>
                </c:pt>
                <c:pt idx="2">
                  <c:v>1.78201486230334E-2</c:v>
                </c:pt>
                <c:pt idx="3">
                  <c:v>3.1961877643577837E-2</c:v>
                </c:pt>
                <c:pt idx="4">
                  <c:v>4.7606375648065941E-2</c:v>
                </c:pt>
                <c:pt idx="5">
                  <c:v>6.8970367546667966E-2</c:v>
                </c:pt>
                <c:pt idx="6">
                  <c:v>8.4670939020706215E-2</c:v>
                </c:pt>
                <c:pt idx="7">
                  <c:v>9.7007102321736247E-2</c:v>
                </c:pt>
                <c:pt idx="8">
                  <c:v>0.10373591866775264</c:v>
                </c:pt>
                <c:pt idx="9">
                  <c:v>0.10766106153626219</c:v>
                </c:pt>
                <c:pt idx="10">
                  <c:v>0.10822179623176356</c:v>
                </c:pt>
                <c:pt idx="11">
                  <c:v>0.10878253092726493</c:v>
                </c:pt>
                <c:pt idx="12">
                  <c:v>0.10878253092726493</c:v>
                </c:pt>
                <c:pt idx="13">
                  <c:v>0.10878253092726493</c:v>
                </c:pt>
                <c:pt idx="14">
                  <c:v>0.10878253092726493</c:v>
                </c:pt>
                <c:pt idx="15">
                  <c:v>0.10878253092726493</c:v>
                </c:pt>
                <c:pt idx="16">
                  <c:v>0.10878253092726493</c:v>
                </c:pt>
                <c:pt idx="17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v>Theis late time</c:v>
          </c:tx>
          <c:spPr>
            <a:ln w="12700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'Theis Data'!$L$3:$L$24</c:f>
              <c:numCache>
                <c:formatCode>0.000E+00</c:formatCode>
                <c:ptCount val="22"/>
                <c:pt idx="0">
                  <c:v>67200000</c:v>
                </c:pt>
                <c:pt idx="1">
                  <c:v>33600000</c:v>
                </c:pt>
                <c:pt idx="2">
                  <c:v>16800000</c:v>
                </c:pt>
                <c:pt idx="3">
                  <c:v>9600000.0000000019</c:v>
                </c:pt>
                <c:pt idx="4">
                  <c:v>6720000.0000000009</c:v>
                </c:pt>
                <c:pt idx="5">
                  <c:v>3360000.0000000005</c:v>
                </c:pt>
                <c:pt idx="6">
                  <c:v>1680000.0000000002</c:v>
                </c:pt>
                <c:pt idx="7">
                  <c:v>960000.00000000023</c:v>
                </c:pt>
                <c:pt idx="8">
                  <c:v>672000.00000000012</c:v>
                </c:pt>
                <c:pt idx="9">
                  <c:v>336000.00000000006</c:v>
                </c:pt>
                <c:pt idx="10">
                  <c:v>168000.00000000003</c:v>
                </c:pt>
                <c:pt idx="11">
                  <c:v>96000.000000000015</c:v>
                </c:pt>
                <c:pt idx="12">
                  <c:v>67200.000000000015</c:v>
                </c:pt>
                <c:pt idx="13">
                  <c:v>33600.000000000007</c:v>
                </c:pt>
                <c:pt idx="14">
                  <c:v>16800.000000000004</c:v>
                </c:pt>
                <c:pt idx="15">
                  <c:v>9600.0000000000018</c:v>
                </c:pt>
                <c:pt idx="16">
                  <c:v>6720.0000000000009</c:v>
                </c:pt>
                <c:pt idx="17">
                  <c:v>3360.0000000000005</c:v>
                </c:pt>
                <c:pt idx="18">
                  <c:v>1680.0000000000002</c:v>
                </c:pt>
                <c:pt idx="19">
                  <c:v>960.00000000000023</c:v>
                </c:pt>
                <c:pt idx="20">
                  <c:v>672.00000000000011</c:v>
                </c:pt>
                <c:pt idx="21">
                  <c:v>336.00000000000006</c:v>
                </c:pt>
              </c:numCache>
            </c:numRef>
          </c:xVal>
          <c:yVal>
            <c:numRef>
              <c:f>'Theis Data'!$M$3:$M$24</c:f>
              <c:numCache>
                <c:formatCode>0.000E+00</c:formatCode>
                <c:ptCount val="22"/>
                <c:pt idx="0">
                  <c:v>0.61344375687849395</c:v>
                </c:pt>
                <c:pt idx="1">
                  <c:v>0.57419232819339838</c:v>
                </c:pt>
                <c:pt idx="2">
                  <c:v>0.53550163420380426</c:v>
                </c:pt>
                <c:pt idx="3">
                  <c:v>0.50410049125572776</c:v>
                </c:pt>
                <c:pt idx="4">
                  <c:v>0.48391404221767859</c:v>
                </c:pt>
                <c:pt idx="5">
                  <c:v>0.44522334822808435</c:v>
                </c:pt>
                <c:pt idx="6">
                  <c:v>0.40653265423849005</c:v>
                </c:pt>
                <c:pt idx="7">
                  <c:v>0.37513151129041361</c:v>
                </c:pt>
                <c:pt idx="8">
                  <c:v>0.35494506225236444</c:v>
                </c:pt>
                <c:pt idx="9">
                  <c:v>0.3162543682627702</c:v>
                </c:pt>
                <c:pt idx="10">
                  <c:v>0.27756367427317602</c:v>
                </c:pt>
                <c:pt idx="11">
                  <c:v>0.24616253132509949</c:v>
                </c:pt>
                <c:pt idx="12">
                  <c:v>0.22653681698255171</c:v>
                </c:pt>
                <c:pt idx="13">
                  <c:v>0.1878461229929575</c:v>
                </c:pt>
                <c:pt idx="14">
                  <c:v>0.150276898394366</c:v>
                </c:pt>
                <c:pt idx="15">
                  <c:v>0.12055795953279361</c:v>
                </c:pt>
                <c:pt idx="16">
                  <c:v>0.10222193498989895</c:v>
                </c:pt>
                <c:pt idx="17">
                  <c:v>6.8577853259817023E-2</c:v>
                </c:pt>
                <c:pt idx="18">
                  <c:v>3.9363575624195866E-2</c:v>
                </c:pt>
                <c:pt idx="19">
                  <c:v>2.0971477611751076E-2</c:v>
                </c:pt>
                <c:pt idx="20">
                  <c:v>1.2280089831479907E-2</c:v>
                </c:pt>
                <c:pt idx="21">
                  <c:v>2.7476000079566915E-3</c:v>
                </c:pt>
              </c:numCache>
            </c:numRef>
          </c:yVal>
          <c:smooth val="1"/>
        </c:ser>
        <c:ser>
          <c:idx val="4"/>
          <c:order val="4"/>
          <c:tx>
            <c:v>Neuman late time</c:v>
          </c:tx>
          <c:spPr>
            <a:ln w="127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'Neuman Data'!$M$26:$M$46</c:f>
              <c:numCache>
                <c:formatCode>0.000E+00</c:formatCode>
                <c:ptCount val="21"/>
                <c:pt idx="0">
                  <c:v>9.4080000000000013</c:v>
                </c:pt>
                <c:pt idx="1">
                  <c:v>16.128000000000004</c:v>
                </c:pt>
                <c:pt idx="2">
                  <c:v>26.880000000000006</c:v>
                </c:pt>
                <c:pt idx="3">
                  <c:v>53.760000000000012</c:v>
                </c:pt>
                <c:pt idx="4">
                  <c:v>94.080000000000027</c:v>
                </c:pt>
                <c:pt idx="5">
                  <c:v>161.28000000000003</c:v>
                </c:pt>
                <c:pt idx="6">
                  <c:v>268.80000000000007</c:v>
                </c:pt>
                <c:pt idx="7">
                  <c:v>537.60000000000014</c:v>
                </c:pt>
                <c:pt idx="8">
                  <c:v>940.80000000000007</c:v>
                </c:pt>
                <c:pt idx="9">
                  <c:v>1612.8000000000002</c:v>
                </c:pt>
                <c:pt idx="10">
                  <c:v>2688.0000000000005</c:v>
                </c:pt>
                <c:pt idx="11">
                  <c:v>5376.0000000000009</c:v>
                </c:pt>
                <c:pt idx="12">
                  <c:v>9408.0000000000018</c:v>
                </c:pt>
                <c:pt idx="13">
                  <c:v>16128.000000000004</c:v>
                </c:pt>
                <c:pt idx="14">
                  <c:v>26880.000000000004</c:v>
                </c:pt>
                <c:pt idx="15">
                  <c:v>53760.000000000007</c:v>
                </c:pt>
                <c:pt idx="16">
                  <c:v>94080.000000000015</c:v>
                </c:pt>
                <c:pt idx="17">
                  <c:v>161280.00000000003</c:v>
                </c:pt>
                <c:pt idx="18">
                  <c:v>268800.00000000006</c:v>
                </c:pt>
                <c:pt idx="19">
                  <c:v>537600.00000000012</c:v>
                </c:pt>
                <c:pt idx="20">
                  <c:v>672000.00000000012</c:v>
                </c:pt>
              </c:numCache>
            </c:numRef>
          </c:xVal>
          <c:yVal>
            <c:numRef>
              <c:f>'Neuman Data'!$N$26:$N$46</c:f>
              <c:numCache>
                <c:formatCode>0.000E+00</c:formatCode>
                <c:ptCount val="21"/>
                <c:pt idx="0">
                  <c:v>0</c:v>
                </c:pt>
                <c:pt idx="1">
                  <c:v>0.10878253092726493</c:v>
                </c:pt>
                <c:pt idx="2">
                  <c:v>0.10878253092726493</c:v>
                </c:pt>
                <c:pt idx="3">
                  <c:v>0.10878253092726493</c:v>
                </c:pt>
                <c:pt idx="4">
                  <c:v>0.10878253092726493</c:v>
                </c:pt>
                <c:pt idx="5">
                  <c:v>0.10934326562276629</c:v>
                </c:pt>
                <c:pt idx="6">
                  <c:v>0.10990400031826766</c:v>
                </c:pt>
                <c:pt idx="7">
                  <c:v>0.11102546970927039</c:v>
                </c:pt>
                <c:pt idx="8">
                  <c:v>0.11270767379577448</c:v>
                </c:pt>
                <c:pt idx="9">
                  <c:v>0.11551134727328131</c:v>
                </c:pt>
                <c:pt idx="10">
                  <c:v>0.11943649014179088</c:v>
                </c:pt>
                <c:pt idx="11">
                  <c:v>0.12952971466081545</c:v>
                </c:pt>
                <c:pt idx="12">
                  <c:v>0.14298734735284821</c:v>
                </c:pt>
                <c:pt idx="13">
                  <c:v>0.16037012291339056</c:v>
                </c:pt>
                <c:pt idx="14">
                  <c:v>0.18167804134244248</c:v>
                </c:pt>
                <c:pt idx="15">
                  <c:v>0.21588285776802577</c:v>
                </c:pt>
                <c:pt idx="16">
                  <c:v>0.24560179662959813</c:v>
                </c:pt>
                <c:pt idx="17">
                  <c:v>0.27532073549117053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25248"/>
        <c:axId val="162327168"/>
      </c:scatterChart>
      <c:valAx>
        <c:axId val="162325248"/>
        <c:scaling>
          <c:logBase val="10"/>
          <c:orientation val="minMax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(time)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33530561311415019"/>
              <c:y val="2.4282917016325341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crossAx val="162327168"/>
        <c:crosses val="max"/>
        <c:crossBetween val="midCat"/>
      </c:valAx>
      <c:valAx>
        <c:axId val="162327168"/>
        <c:scaling>
          <c:logBase val="10"/>
          <c:orientation val="minMax"/>
        </c:scaling>
        <c:delete val="0"/>
        <c:axPos val="r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h_0 - h (drawdown)</a:t>
                </a:r>
              </a:p>
            </c:rich>
          </c:tx>
          <c:layout/>
          <c:overlay val="0"/>
        </c:title>
        <c:numFmt formatCode="0.0E+00" sourceLinked="0"/>
        <c:majorTickMark val="out"/>
        <c:minorTickMark val="none"/>
        <c:tickLblPos val="nextTo"/>
        <c:crossAx val="162325248"/>
        <c:crosses val="max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</xdr:row>
      <xdr:rowOff>66673</xdr:rowOff>
    </xdr:from>
    <xdr:to>
      <xdr:col>12</xdr:col>
      <xdr:colOff>123824</xdr:colOff>
      <xdr:row>20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95274" y="228598"/>
          <a:ext cx="7362825" cy="3152777"/>
        </a:xfrm>
        <a:prstGeom prst="rect">
          <a:avLst/>
        </a:prstGeom>
        <a:solidFill>
          <a:srgbClr val="FFFFCC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Copyright © Fitts Geosolutions, 2012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Excel spreadsheets for basic analysis of pumping tests were developed to accompany the textbook </a:t>
          </a:r>
          <a:r>
            <a:rPr lang="en-US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Groundwater Science, 2nd ed.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(2012).  The textbook describes each of the models shown here.  These spreadsheets may be used or distributed, provided that the source is acknowledged. The Excel file may be downloaded from www.fittsgeosolutions.com.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Pumping test analyisis methods are on sheets with blue tabs.  The tables of data that produce the model curves for each method are on sheets with gray tabs; these sheets are read-only so data won't be inadvertently corrupted. 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The graphs are set up to automatically adjust axes to fit the plotted data.  You may override the axis settings or other graph settings to customize them.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Charlie Fitts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Fitts Geosolutions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Scarborough, Maine, USA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733423</xdr:colOff>
      <xdr:row>13</xdr:row>
      <xdr:rowOff>14286</xdr:rowOff>
    </xdr:from>
    <xdr:to>
      <xdr:col>11</xdr:col>
      <xdr:colOff>133351</xdr:colOff>
      <xdr:row>43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85725</xdr:rowOff>
    </xdr:from>
    <xdr:to>
      <xdr:col>11</xdr:col>
      <xdr:colOff>381002</xdr:colOff>
      <xdr:row>8</xdr:row>
      <xdr:rowOff>95249</xdr:rowOff>
    </xdr:to>
    <xdr:sp macro="" textlink="">
      <xdr:nvSpPr>
        <xdr:cNvPr id="3" name="TextBox 2"/>
        <xdr:cNvSpPr txBox="1"/>
      </xdr:nvSpPr>
      <xdr:spPr>
        <a:xfrm>
          <a:off x="104775" y="85725"/>
          <a:ext cx="9172577" cy="1304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Theis (1935) solution for a well in an infinite non-leaky aquifer.</a:t>
          </a:r>
        </a:p>
        <a:p>
          <a:r>
            <a:rPr lang="en-US" sz="1100"/>
            <a:t>Insert your observed t vs. h_0 - h data,</a:t>
          </a:r>
          <a:r>
            <a:rPr lang="en-US" sz="1100" baseline="0"/>
            <a:t> then</a:t>
          </a:r>
          <a:r>
            <a:rPr lang="en-US" sz="1100"/>
            <a:t> enter and adjust model data in the yellow row to achieve a match.   All data must be in one</a:t>
          </a:r>
          <a:r>
            <a:rPr lang="en-US" sz="1100" baseline="0"/>
            <a:t> consistent set of time and length units (e.g. day, meter). </a:t>
          </a:r>
          <a:r>
            <a:rPr lang="en-US" sz="1100"/>
            <a:t> The</a:t>
          </a:r>
          <a:r>
            <a:rPr lang="en-US" sz="1100" baseline="0"/>
            <a:t> parameters are defined as follows: Q = well discharge, r=radius from pumping well to observation location, T=transmissivity, S=storativity.</a:t>
          </a:r>
        </a:p>
        <a:p>
          <a:endParaRPr lang="en-US" sz="1100" baseline="0"/>
        </a:p>
        <a:p>
          <a:r>
            <a:rPr lang="en-US" sz="1100" baseline="0"/>
            <a:t>Theis, C.V. 1935.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14</xdr:row>
      <xdr:rowOff>114300</xdr:rowOff>
    </xdr:from>
    <xdr:to>
      <xdr:col>12</xdr:col>
      <xdr:colOff>152400</xdr:colOff>
      <xdr:row>36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0</xdr:row>
      <xdr:rowOff>95250</xdr:rowOff>
    </xdr:from>
    <xdr:to>
      <xdr:col>11</xdr:col>
      <xdr:colOff>171452</xdr:colOff>
      <xdr:row>8</xdr:row>
      <xdr:rowOff>114300</xdr:rowOff>
    </xdr:to>
    <xdr:sp macro="" textlink="">
      <xdr:nvSpPr>
        <xdr:cNvPr id="4" name="TextBox 3"/>
        <xdr:cNvSpPr txBox="1"/>
      </xdr:nvSpPr>
      <xdr:spPr>
        <a:xfrm>
          <a:off x="133350" y="95250"/>
          <a:ext cx="9172577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Hantush Jacob (1955) solution for a well in a leaky confined aquifer, with  a 2nd aquifer supplying water through the aquitard and no storage in the aquitard.</a:t>
          </a:r>
        </a:p>
        <a:p>
          <a:r>
            <a:rPr lang="en-US" sz="1100"/>
            <a:t>Insert your observed t vs. h_0 - h data,</a:t>
          </a:r>
          <a:r>
            <a:rPr lang="en-US" sz="1100" baseline="0"/>
            <a:t> then</a:t>
          </a:r>
          <a:r>
            <a:rPr lang="en-US" sz="1100"/>
            <a:t> enter and adjust model data in the yellow row to achieve a match.   All data must be in one</a:t>
          </a:r>
          <a:r>
            <a:rPr lang="en-US" sz="1100" baseline="0"/>
            <a:t> consistent set of time and length units (e.g. day, meter). </a:t>
          </a:r>
          <a:r>
            <a:rPr lang="en-US" sz="1100"/>
            <a:t> The</a:t>
          </a:r>
          <a:r>
            <a:rPr lang="en-US" sz="1100" baseline="0"/>
            <a:t> parameters are : Q = well discharge, r=radius from pumping well to observation location, T=transmissivity, S=storativity, b'=thickness of aquitard, K'=vertical conductivity of aquitard.</a:t>
          </a:r>
        </a:p>
        <a:p>
          <a:endParaRPr lang="en-US" sz="1100" baseline="0"/>
        </a:p>
        <a:p>
          <a:r>
            <a:rPr lang="en-US" sz="1100" baseline="0"/>
            <a:t>Hantush, M.S. 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15</xdr:row>
      <xdr:rowOff>57150</xdr:rowOff>
    </xdr:from>
    <xdr:to>
      <xdr:col>11</xdr:col>
      <xdr:colOff>304800</xdr:colOff>
      <xdr:row>45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104772</xdr:colOff>
      <xdr:row>0</xdr:row>
      <xdr:rowOff>85725</xdr:rowOff>
    </xdr:from>
    <xdr:to>
      <xdr:col>11</xdr:col>
      <xdr:colOff>123824</xdr:colOff>
      <xdr:row>10</xdr:row>
      <xdr:rowOff>47624</xdr:rowOff>
    </xdr:to>
    <xdr:sp macro="" textlink="">
      <xdr:nvSpPr>
        <xdr:cNvPr id="3" name="TextBox 2"/>
        <xdr:cNvSpPr txBox="1"/>
      </xdr:nvSpPr>
      <xdr:spPr>
        <a:xfrm>
          <a:off x="104772" y="85725"/>
          <a:ext cx="9172577" cy="1581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Hantush (1960) solution for a well in a leaky confined aquifer, with storage in the aquitard(s).</a:t>
          </a:r>
        </a:p>
        <a:p>
          <a:r>
            <a:rPr lang="en-US" sz="1100"/>
            <a:t>Insert your observed t vs. h_0 - h data,</a:t>
          </a:r>
          <a:r>
            <a:rPr lang="en-US" sz="1100" baseline="0"/>
            <a:t> then</a:t>
          </a:r>
          <a:r>
            <a:rPr lang="en-US" sz="1100"/>
            <a:t> enter and adjust model data in the yellow row to achieve a match.   All data must be in one</a:t>
          </a:r>
          <a:r>
            <a:rPr lang="en-US" sz="1100" baseline="0"/>
            <a:t> consistent set of time and length units (e.g. day, meter). </a:t>
          </a:r>
          <a:r>
            <a:rPr lang="en-US" sz="1100"/>
            <a:t> The</a:t>
          </a:r>
          <a:r>
            <a:rPr lang="en-US" sz="1100" baseline="0"/>
            <a:t> parameters are defined as follows: Q = well discharge, r=radius from pumping well to observation location, T=transmissivity, S=storativity, b' and b''=thickness of aquitards, K' and K''=vertical conductivity of aquitards, S' and S''=storativity of aquitards (' applies to top aquitard, '' to bottom aquitard).  Aquitard properties can be estimated from the computed Sqrt(K'S'/b') + Sqrt(K''S''/b'') .</a:t>
          </a:r>
        </a:p>
        <a:p>
          <a:endParaRPr lang="en-US" sz="1100" baseline="0"/>
        </a:p>
        <a:p>
          <a:r>
            <a:rPr lang="en-US" sz="1100" baseline="0"/>
            <a:t>Hantush, M.S. 1960. Modification of the theory of leaky aquifers.  Journal of Geophysical Research, 65, 3713--3725.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619123</xdr:colOff>
      <xdr:row>14</xdr:row>
      <xdr:rowOff>66675</xdr:rowOff>
    </xdr:from>
    <xdr:to>
      <xdr:col>21</xdr:col>
      <xdr:colOff>390524</xdr:colOff>
      <xdr:row>42</xdr:row>
      <xdr:rowOff>19051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76200</xdr:rowOff>
    </xdr:from>
    <xdr:to>
      <xdr:col>13</xdr:col>
      <xdr:colOff>276227</xdr:colOff>
      <xdr:row>8</xdr:row>
      <xdr:rowOff>85724</xdr:rowOff>
    </xdr:to>
    <xdr:sp macro="" textlink="">
      <xdr:nvSpPr>
        <xdr:cNvPr id="3" name="TextBox 2"/>
        <xdr:cNvSpPr txBox="1"/>
      </xdr:nvSpPr>
      <xdr:spPr>
        <a:xfrm>
          <a:off x="104775" y="76200"/>
          <a:ext cx="9172577" cy="1304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Neuman (1975) solution for a well in an unconfined aquifer.</a:t>
          </a:r>
        </a:p>
        <a:p>
          <a:r>
            <a:rPr lang="en-US" sz="1100"/>
            <a:t>Insert your observed t vs. h_0 - h data,</a:t>
          </a:r>
          <a:r>
            <a:rPr lang="en-US" sz="1100" baseline="0"/>
            <a:t> then</a:t>
          </a:r>
          <a:r>
            <a:rPr lang="en-US" sz="1100"/>
            <a:t> enter and adjust model data in the yellow row to achieve a match.   All data must be in one</a:t>
          </a:r>
          <a:r>
            <a:rPr lang="en-US" sz="1100" baseline="0"/>
            <a:t> consistent set of time and length units (e.g. day, meter). </a:t>
          </a:r>
          <a:r>
            <a:rPr lang="en-US" sz="1100"/>
            <a:t> The</a:t>
          </a:r>
          <a:r>
            <a:rPr lang="en-US" sz="1100" baseline="0"/>
            <a:t> parameters are defined as follows: Q = well discharge, r=radius from pumping well to observation location, T=transmissivity, S=storativity,  S_y=specific yield,  b=aquifer thickness, Kz/Kr=ratio of vertical to horizontal conductivity of aquifer.</a:t>
          </a:r>
        </a:p>
        <a:p>
          <a:endParaRPr lang="en-US" sz="1100" baseline="0"/>
        </a:p>
        <a:p>
          <a:r>
            <a:rPr lang="en-US" sz="1100" baseline="0"/>
            <a:t>Neuman, S.P. 1975.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5875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99"/>
  </sheetPr>
  <dimension ref="B100"/>
  <sheetViews>
    <sheetView workbookViewId="0">
      <selection activeCell="R16" sqref="R16"/>
    </sheetView>
  </sheetViews>
  <sheetFormatPr defaultRowHeight="12.75" x14ac:dyDescent="0.2"/>
  <cols>
    <col min="1" max="1" width="9.140625" style="1"/>
    <col min="2" max="2" width="12.42578125" style="1" bestFit="1" customWidth="1"/>
    <col min="3" max="16384" width="9.140625" style="1"/>
  </cols>
  <sheetData>
    <row r="100" spans="2:2" x14ac:dyDescent="0.2">
      <c r="B100" s="26"/>
    </row>
  </sheetData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D46"/>
  <sheetViews>
    <sheetView workbookViewId="0">
      <selection activeCell="A14" sqref="A14"/>
    </sheetView>
  </sheetViews>
  <sheetFormatPr defaultRowHeight="12.75" x14ac:dyDescent="0.2"/>
  <cols>
    <col min="1" max="2" width="10.7109375" style="2" customWidth="1"/>
    <col min="3" max="3" width="22" style="2" customWidth="1"/>
    <col min="4" max="4" width="22.85546875" style="2" customWidth="1"/>
    <col min="5" max="6" width="10.7109375" style="2" customWidth="1"/>
    <col min="7" max="16384" width="9.140625" style="2"/>
  </cols>
  <sheetData>
    <row r="1" spans="1:4" x14ac:dyDescent="0.2">
      <c r="A1" s="6"/>
    </row>
    <row r="2" spans="1:4" x14ac:dyDescent="0.2">
      <c r="A2" s="8"/>
    </row>
    <row r="3" spans="1:4" x14ac:dyDescent="0.2">
      <c r="A3" s="8"/>
    </row>
    <row r="4" spans="1:4" x14ac:dyDescent="0.2">
      <c r="A4" s="8"/>
    </row>
    <row r="5" spans="1:4" x14ac:dyDescent="0.2">
      <c r="A5" s="8"/>
    </row>
    <row r="6" spans="1:4" x14ac:dyDescent="0.2">
      <c r="A6" s="8"/>
    </row>
    <row r="7" spans="1:4" x14ac:dyDescent="0.2">
      <c r="A7" s="8"/>
    </row>
    <row r="8" spans="1:4" x14ac:dyDescent="0.2">
      <c r="A8" s="8"/>
    </row>
    <row r="9" spans="1:4" x14ac:dyDescent="0.2">
      <c r="A9" s="6"/>
    </row>
    <row r="10" spans="1:4" s="3" customFormat="1" x14ac:dyDescent="0.2">
      <c r="A10" s="3" t="s">
        <v>4</v>
      </c>
      <c r="B10" s="3" t="s">
        <v>5</v>
      </c>
      <c r="C10" s="3" t="s">
        <v>6</v>
      </c>
      <c r="D10" s="3" t="s">
        <v>7</v>
      </c>
    </row>
    <row r="11" spans="1:4" x14ac:dyDescent="0.2">
      <c r="A11" s="22">
        <v>2.2949999999999999</v>
      </c>
      <c r="B11" s="22">
        <v>296</v>
      </c>
      <c r="C11" s="22">
        <v>1.7</v>
      </c>
      <c r="D11" s="22">
        <v>4.0000000000000003E-5</v>
      </c>
    </row>
    <row r="12" spans="1:4" s="3" customFormat="1" x14ac:dyDescent="0.2"/>
    <row r="13" spans="1:4" s="3" customFormat="1" x14ac:dyDescent="0.2">
      <c r="A13" s="6" t="s">
        <v>23</v>
      </c>
      <c r="C13" s="6"/>
      <c r="D13" s="6"/>
    </row>
    <row r="14" spans="1:4" s="3" customFormat="1" x14ac:dyDescent="0.2">
      <c r="A14" s="29" t="s">
        <v>41</v>
      </c>
      <c r="B14" s="3" t="s">
        <v>8</v>
      </c>
    </row>
    <row r="15" spans="1:4" s="3" customFormat="1" x14ac:dyDescent="0.2">
      <c r="A15" s="13">
        <v>0.3</v>
      </c>
      <c r="B15" s="14">
        <v>7.0000000000000001E-3</v>
      </c>
      <c r="C15" s="4"/>
      <c r="D15" s="4"/>
    </row>
    <row r="16" spans="1:4" s="3" customFormat="1" x14ac:dyDescent="0.2">
      <c r="A16" s="13">
        <v>1</v>
      </c>
      <c r="B16" s="14">
        <v>0.06</v>
      </c>
      <c r="C16" s="4"/>
      <c r="D16" s="4"/>
    </row>
    <row r="17" spans="1:4" x14ac:dyDescent="0.2">
      <c r="A17" s="2">
        <v>2</v>
      </c>
      <c r="B17" s="12">
        <v>0.1</v>
      </c>
      <c r="C17" s="4"/>
      <c r="D17" s="4"/>
    </row>
    <row r="18" spans="1:4" x14ac:dyDescent="0.2">
      <c r="A18" s="2">
        <v>5</v>
      </c>
      <c r="B18" s="12">
        <v>0.2</v>
      </c>
      <c r="C18" s="4"/>
      <c r="D18" s="4"/>
    </row>
    <row r="19" spans="1:4" x14ac:dyDescent="0.2">
      <c r="A19" s="2">
        <v>10</v>
      </c>
      <c r="B19" s="12">
        <v>0.27</v>
      </c>
      <c r="C19" s="4"/>
      <c r="D19" s="4"/>
    </row>
    <row r="20" spans="1:4" x14ac:dyDescent="0.2">
      <c r="A20" s="2">
        <v>15</v>
      </c>
      <c r="B20" s="12">
        <v>0.31</v>
      </c>
      <c r="C20" s="4"/>
      <c r="D20" s="4"/>
    </row>
    <row r="21" spans="1:4" x14ac:dyDescent="0.2">
      <c r="A21" s="2">
        <v>20</v>
      </c>
      <c r="B21" s="12">
        <v>0.34</v>
      </c>
      <c r="C21" s="4"/>
      <c r="D21" s="4"/>
    </row>
    <row r="22" spans="1:4" x14ac:dyDescent="0.2">
      <c r="A22" s="2">
        <v>30</v>
      </c>
      <c r="B22" s="12">
        <v>0.39</v>
      </c>
      <c r="C22" s="4"/>
      <c r="D22" s="4"/>
    </row>
    <row r="23" spans="1:4" x14ac:dyDescent="0.2">
      <c r="A23" s="2">
        <v>50</v>
      </c>
      <c r="B23" s="12">
        <v>0.44</v>
      </c>
      <c r="C23" s="4"/>
      <c r="D23" s="4"/>
    </row>
    <row r="24" spans="1:4" x14ac:dyDescent="0.2">
      <c r="A24" s="2">
        <v>75</v>
      </c>
      <c r="B24" s="12">
        <v>0.48</v>
      </c>
      <c r="C24" s="4"/>
      <c r="D24" s="4"/>
    </row>
    <row r="25" spans="1:4" x14ac:dyDescent="0.2">
      <c r="A25" s="2">
        <v>120</v>
      </c>
      <c r="B25" s="12">
        <v>0.53</v>
      </c>
      <c r="C25" s="4"/>
      <c r="D25" s="4"/>
    </row>
    <row r="26" spans="1:4" x14ac:dyDescent="0.2">
      <c r="A26" s="2">
        <v>195</v>
      </c>
      <c r="B26" s="12">
        <v>0.57999999999999996</v>
      </c>
      <c r="C26" s="4"/>
      <c r="D26" s="4"/>
    </row>
    <row r="27" spans="1:4" x14ac:dyDescent="0.2">
      <c r="C27" s="4"/>
      <c r="D27" s="4"/>
    </row>
    <row r="28" spans="1:4" x14ac:dyDescent="0.2">
      <c r="C28" s="4"/>
      <c r="D28" s="4"/>
    </row>
    <row r="29" spans="1:4" x14ac:dyDescent="0.2">
      <c r="C29" s="4"/>
      <c r="D29" s="4"/>
    </row>
    <row r="30" spans="1:4" x14ac:dyDescent="0.2">
      <c r="C30" s="4"/>
      <c r="D30" s="4"/>
    </row>
    <row r="31" spans="1:4" x14ac:dyDescent="0.2">
      <c r="C31" s="4"/>
      <c r="D31" s="4"/>
    </row>
    <row r="32" spans="1:4" x14ac:dyDescent="0.2">
      <c r="C32" s="4"/>
      <c r="D32" s="4"/>
    </row>
    <row r="33" spans="3:4" x14ac:dyDescent="0.2">
      <c r="C33" s="4"/>
      <c r="D33" s="4"/>
    </row>
    <row r="34" spans="3:4" x14ac:dyDescent="0.2">
      <c r="C34" s="4"/>
      <c r="D34" s="4"/>
    </row>
    <row r="35" spans="3:4" x14ac:dyDescent="0.2">
      <c r="C35" s="4"/>
      <c r="D35" s="4"/>
    </row>
    <row r="36" spans="3:4" x14ac:dyDescent="0.2">
      <c r="C36" s="4"/>
      <c r="D36" s="4"/>
    </row>
    <row r="37" spans="3:4" x14ac:dyDescent="0.2">
      <c r="C37" s="4"/>
      <c r="D37" s="4"/>
    </row>
    <row r="38" spans="3:4" x14ac:dyDescent="0.2">
      <c r="C38" s="4"/>
      <c r="D38" s="4"/>
    </row>
    <row r="39" spans="3:4" x14ac:dyDescent="0.2">
      <c r="C39" s="4"/>
      <c r="D39" s="4"/>
    </row>
    <row r="40" spans="3:4" x14ac:dyDescent="0.2">
      <c r="C40" s="4"/>
      <c r="D40" s="4"/>
    </row>
    <row r="41" spans="3:4" x14ac:dyDescent="0.2">
      <c r="C41" s="4"/>
      <c r="D41" s="4"/>
    </row>
    <row r="42" spans="3:4" x14ac:dyDescent="0.2">
      <c r="C42" s="4"/>
      <c r="D42" s="4"/>
    </row>
    <row r="43" spans="3:4" x14ac:dyDescent="0.2">
      <c r="C43" s="4"/>
      <c r="D43" s="4"/>
    </row>
    <row r="44" spans="3:4" x14ac:dyDescent="0.2">
      <c r="C44" s="4"/>
      <c r="D44" s="4"/>
    </row>
    <row r="45" spans="3:4" x14ac:dyDescent="0.2">
      <c r="C45" s="4"/>
      <c r="D45" s="4"/>
    </row>
    <row r="46" spans="3:4" x14ac:dyDescent="0.2">
      <c r="C46" s="4"/>
      <c r="D46" s="4"/>
    </row>
  </sheetData>
  <phoneticPr fontId="0" type="noConversion"/>
  <dataValidations count="1">
    <dataValidation type="decimal" operator="greaterThan" showInputMessage="1" showErrorMessage="1" sqref="A11:D11">
      <formula1>0</formula1>
    </dataValidation>
  </dataValidations>
  <printOptions headings="1" gridLines="1" gridLinesSet="0"/>
  <pageMargins left="0.75" right="0.75" top="1" bottom="1" header="0.5" footer="0.5"/>
  <pageSetup paperSize="9" orientation="portrait" blackAndWhite="1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8:F45"/>
  <sheetViews>
    <sheetView workbookViewId="0">
      <selection activeCell="A16" sqref="A16"/>
    </sheetView>
  </sheetViews>
  <sheetFormatPr defaultRowHeight="12.75" x14ac:dyDescent="0.2"/>
  <cols>
    <col min="1" max="1" width="10" style="1" bestFit="1" customWidth="1"/>
    <col min="2" max="2" width="10.7109375" style="1" customWidth="1"/>
    <col min="3" max="3" width="20.85546875" style="1" customWidth="1"/>
    <col min="4" max="4" width="20" style="1" customWidth="1"/>
    <col min="5" max="5" width="20.42578125" style="1" customWidth="1"/>
    <col min="6" max="6" width="9.28515625" style="1" customWidth="1"/>
    <col min="7" max="7" width="9.140625" style="1" customWidth="1"/>
    <col min="8" max="16384" width="9.140625" style="1"/>
  </cols>
  <sheetData>
    <row r="8" spans="1:6" x14ac:dyDescent="0.2">
      <c r="A8" s="8"/>
    </row>
    <row r="9" spans="1:6" x14ac:dyDescent="0.2">
      <c r="A9" s="8"/>
    </row>
    <row r="10" spans="1:6" s="7" customFormat="1" x14ac:dyDescent="0.2">
      <c r="A10" s="3" t="s">
        <v>4</v>
      </c>
      <c r="B10" s="3" t="s">
        <v>5</v>
      </c>
      <c r="C10" s="3" t="s">
        <v>12</v>
      </c>
      <c r="D10" s="3" t="s">
        <v>7</v>
      </c>
      <c r="E10" s="7" t="s">
        <v>37</v>
      </c>
      <c r="F10" s="8"/>
    </row>
    <row r="11" spans="1:6" x14ac:dyDescent="0.2">
      <c r="A11" s="23">
        <v>0.52847999999999995</v>
      </c>
      <c r="B11" s="23">
        <v>120</v>
      </c>
      <c r="C11" s="23">
        <v>0.83</v>
      </c>
      <c r="D11" s="23">
        <v>8.9999999999999998E-4</v>
      </c>
      <c r="E11" s="23">
        <v>0.4</v>
      </c>
    </row>
    <row r="12" spans="1:6" x14ac:dyDescent="0.2">
      <c r="E12" s="7" t="s">
        <v>35</v>
      </c>
    </row>
    <row r="13" spans="1:6" x14ac:dyDescent="0.2">
      <c r="E13" s="1">
        <f>C11*(E11/B11)^2</f>
        <v>9.2222222222222241E-6</v>
      </c>
    </row>
    <row r="14" spans="1:6" s="7" customFormat="1" x14ac:dyDescent="0.2">
      <c r="C14" s="6"/>
      <c r="D14" s="6"/>
    </row>
    <row r="15" spans="1:6" s="7" customFormat="1" x14ac:dyDescent="0.2">
      <c r="A15" s="6" t="s">
        <v>23</v>
      </c>
      <c r="B15" s="3"/>
      <c r="C15" s="3"/>
      <c r="D15" s="3"/>
    </row>
    <row r="16" spans="1:6" x14ac:dyDescent="0.2">
      <c r="A16" s="29" t="s">
        <v>41</v>
      </c>
      <c r="B16" s="3" t="s">
        <v>8</v>
      </c>
      <c r="C16" s="4"/>
      <c r="D16" s="4"/>
    </row>
    <row r="17" spans="1:4" x14ac:dyDescent="0.2">
      <c r="A17" s="17">
        <v>2.2999999999999998</v>
      </c>
      <c r="B17" s="16">
        <v>3.0079999999999998E-3</v>
      </c>
      <c r="C17" s="4"/>
      <c r="D17" s="4"/>
    </row>
    <row r="18" spans="1:4" x14ac:dyDescent="0.2">
      <c r="A18" s="17">
        <v>4.7</v>
      </c>
      <c r="B18" s="16">
        <v>1.3184E-2</v>
      </c>
      <c r="C18" s="4"/>
      <c r="D18" s="4"/>
    </row>
    <row r="19" spans="1:4" x14ac:dyDescent="0.2">
      <c r="A19" s="17">
        <v>7.8333333333333339</v>
      </c>
      <c r="B19" s="16">
        <v>2.656E-2</v>
      </c>
      <c r="C19" s="4"/>
      <c r="D19" s="4"/>
    </row>
    <row r="20" spans="1:4" x14ac:dyDescent="0.2">
      <c r="A20" s="17">
        <v>11.75</v>
      </c>
      <c r="B20" s="16">
        <v>3.9744000000000002E-2</v>
      </c>
      <c r="C20" s="4"/>
      <c r="D20" s="4"/>
    </row>
    <row r="21" spans="1:4" x14ac:dyDescent="0.2">
      <c r="A21" s="17">
        <v>23.5</v>
      </c>
      <c r="B21" s="16">
        <v>6.3743999999999995E-2</v>
      </c>
      <c r="C21" s="4"/>
      <c r="D21" s="4"/>
    </row>
    <row r="22" spans="1:4" x14ac:dyDescent="0.2">
      <c r="A22" s="17">
        <v>47</v>
      </c>
      <c r="B22" s="16">
        <v>8.3839999999999998E-2</v>
      </c>
      <c r="C22" s="4"/>
      <c r="D22" s="4"/>
    </row>
    <row r="23" spans="1:4" x14ac:dyDescent="0.2">
      <c r="A23" s="17">
        <v>78.333333333333343</v>
      </c>
      <c r="B23" s="16">
        <v>9.3439999999999995E-2</v>
      </c>
      <c r="C23" s="4"/>
      <c r="D23" s="4"/>
    </row>
    <row r="24" spans="1:4" x14ac:dyDescent="0.2">
      <c r="A24" s="17">
        <v>117.5</v>
      </c>
      <c r="B24" s="16">
        <v>9.9000000000000005E-2</v>
      </c>
      <c r="C24" s="4"/>
      <c r="D24" s="4"/>
    </row>
    <row r="25" spans="1:4" x14ac:dyDescent="0.2">
      <c r="A25" s="17">
        <v>235</v>
      </c>
      <c r="B25" s="16">
        <v>0.105</v>
      </c>
      <c r="C25" s="4"/>
      <c r="D25" s="4"/>
    </row>
    <row r="26" spans="1:4" x14ac:dyDescent="0.2">
      <c r="A26" s="14">
        <v>500</v>
      </c>
      <c r="B26" s="14">
        <v>0.109</v>
      </c>
      <c r="C26" s="4"/>
      <c r="D26" s="4"/>
    </row>
    <row r="27" spans="1:4" x14ac:dyDescent="0.2">
      <c r="A27" s="14"/>
      <c r="B27" s="14"/>
      <c r="C27" s="4"/>
      <c r="D27" s="4"/>
    </row>
    <row r="28" spans="1:4" x14ac:dyDescent="0.2">
      <c r="A28" s="14"/>
      <c r="B28" s="14"/>
      <c r="C28" s="4"/>
      <c r="D28" s="4"/>
    </row>
    <row r="29" spans="1:4" x14ac:dyDescent="0.2">
      <c r="A29" s="14"/>
      <c r="B29" s="14"/>
      <c r="C29" s="4"/>
      <c r="D29" s="4"/>
    </row>
    <row r="30" spans="1:4" x14ac:dyDescent="0.2">
      <c r="A30" s="14"/>
      <c r="B30" s="14"/>
    </row>
    <row r="31" spans="1:4" x14ac:dyDescent="0.2">
      <c r="A31" s="14"/>
      <c r="B31" s="14"/>
    </row>
    <row r="32" spans="1:4" x14ac:dyDescent="0.2">
      <c r="A32" s="14"/>
      <c r="B32" s="14"/>
    </row>
    <row r="33" spans="1:2" x14ac:dyDescent="0.2">
      <c r="A33" s="14"/>
      <c r="B33" s="14"/>
    </row>
    <row r="34" spans="1:2" x14ac:dyDescent="0.2">
      <c r="A34" s="14"/>
      <c r="B34" s="14"/>
    </row>
    <row r="35" spans="1:2" x14ac:dyDescent="0.2">
      <c r="A35" s="14"/>
      <c r="B35" s="14"/>
    </row>
    <row r="36" spans="1:2" x14ac:dyDescent="0.2">
      <c r="A36" s="14"/>
      <c r="B36" s="14"/>
    </row>
    <row r="37" spans="1:2" x14ac:dyDescent="0.2">
      <c r="A37" s="14"/>
      <c r="B37" s="14"/>
    </row>
    <row r="38" spans="1:2" x14ac:dyDescent="0.2">
      <c r="A38" s="14"/>
      <c r="B38" s="14"/>
    </row>
    <row r="39" spans="1:2" x14ac:dyDescent="0.2">
      <c r="A39" s="14"/>
      <c r="B39" s="14"/>
    </row>
    <row r="40" spans="1:2" x14ac:dyDescent="0.2">
      <c r="A40" s="14"/>
      <c r="B40" s="14"/>
    </row>
    <row r="41" spans="1:2" x14ac:dyDescent="0.2">
      <c r="A41" s="14"/>
      <c r="B41" s="14"/>
    </row>
    <row r="42" spans="1:2" x14ac:dyDescent="0.2">
      <c r="A42" s="14"/>
      <c r="B42" s="14"/>
    </row>
    <row r="43" spans="1:2" x14ac:dyDescent="0.2">
      <c r="A43" s="14"/>
      <c r="B43" s="14"/>
    </row>
    <row r="44" spans="1:2" x14ac:dyDescent="0.2">
      <c r="A44" s="14"/>
      <c r="B44" s="14"/>
    </row>
    <row r="45" spans="1:2" x14ac:dyDescent="0.2">
      <c r="A45" s="14"/>
      <c r="B45" s="14"/>
    </row>
  </sheetData>
  <sortState ref="A9:B17">
    <sortCondition ref="A8"/>
  </sortState>
  <phoneticPr fontId="0" type="noConversion"/>
  <dataValidations count="1">
    <dataValidation type="decimal" operator="greaterThan" allowBlank="1" showInputMessage="1" showErrorMessage="1" sqref="A11:D11">
      <formula1>0</formula1>
    </dataValidation>
  </dataValidations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'HantushJacob Data'!$C$2:$L$2</xm:f>
          </x14:formula1>
          <xm:sqref>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7"/>
  <sheetViews>
    <sheetView topLeftCell="A8" workbookViewId="0">
      <selection activeCell="B34" sqref="B34"/>
    </sheetView>
  </sheetViews>
  <sheetFormatPr defaultRowHeight="12.75" x14ac:dyDescent="0.2"/>
  <cols>
    <col min="1" max="1" width="10" style="14" bestFit="1" customWidth="1"/>
    <col min="2" max="2" width="10.7109375" style="1" customWidth="1"/>
    <col min="3" max="3" width="20.85546875" style="1" customWidth="1"/>
    <col min="4" max="4" width="10.85546875" style="1" customWidth="1"/>
    <col min="5" max="5" width="20.42578125" style="1" customWidth="1"/>
    <col min="6" max="6" width="9.28515625" style="1" customWidth="1"/>
    <col min="7" max="7" width="9.140625" style="1" customWidth="1"/>
    <col min="8" max="16384" width="9.140625" style="1"/>
  </cols>
  <sheetData>
    <row r="1" spans="1:6" x14ac:dyDescent="0.2">
      <c r="A1" s="28"/>
    </row>
    <row r="2" spans="1:6" x14ac:dyDescent="0.2">
      <c r="A2" s="28"/>
    </row>
    <row r="3" spans="1:6" x14ac:dyDescent="0.2">
      <c r="A3" s="28"/>
    </row>
    <row r="4" spans="1:6" x14ac:dyDescent="0.2">
      <c r="A4" s="28"/>
    </row>
    <row r="5" spans="1:6" x14ac:dyDescent="0.2">
      <c r="A5" s="28"/>
    </row>
    <row r="6" spans="1:6" x14ac:dyDescent="0.2">
      <c r="A6" s="28"/>
    </row>
    <row r="7" spans="1:6" x14ac:dyDescent="0.2">
      <c r="A7" s="28"/>
    </row>
    <row r="8" spans="1:6" x14ac:dyDescent="0.2">
      <c r="A8" s="28"/>
    </row>
    <row r="9" spans="1:6" x14ac:dyDescent="0.2">
      <c r="A9" s="28"/>
    </row>
    <row r="10" spans="1:6" x14ac:dyDescent="0.2">
      <c r="A10" s="28"/>
    </row>
    <row r="11" spans="1:6" x14ac:dyDescent="0.2">
      <c r="A11" s="28"/>
    </row>
    <row r="12" spans="1:6" s="7" customFormat="1" x14ac:dyDescent="0.2">
      <c r="A12" s="29" t="s">
        <v>4</v>
      </c>
      <c r="B12" s="3" t="s">
        <v>5</v>
      </c>
      <c r="C12" s="3" t="s">
        <v>12</v>
      </c>
      <c r="D12" s="3" t="s">
        <v>7</v>
      </c>
      <c r="E12" s="7" t="s">
        <v>38</v>
      </c>
      <c r="F12" s="8"/>
    </row>
    <row r="13" spans="1:6" x14ac:dyDescent="0.2">
      <c r="A13" s="30">
        <v>0.52847999999999995</v>
      </c>
      <c r="B13" s="23">
        <v>15</v>
      </c>
      <c r="C13" s="23">
        <v>3</v>
      </c>
      <c r="D13" s="23">
        <v>2.5000000000000001E-3</v>
      </c>
      <c r="E13" s="23">
        <v>2</v>
      </c>
    </row>
    <row r="14" spans="1:6" x14ac:dyDescent="0.2">
      <c r="E14" s="8" t="s">
        <v>40</v>
      </c>
    </row>
    <row r="15" spans="1:6" x14ac:dyDescent="0.2">
      <c r="E15" s="5">
        <f>4*E13*SQRT(C13*D13)/B13</f>
        <v>4.6188021535170064E-2</v>
      </c>
    </row>
    <row r="16" spans="1:6" s="7" customFormat="1" x14ac:dyDescent="0.2">
      <c r="A16" s="28" t="s">
        <v>23</v>
      </c>
      <c r="B16" s="3"/>
      <c r="C16" s="3"/>
      <c r="D16" s="3"/>
    </row>
    <row r="17" spans="1:4" x14ac:dyDescent="0.2">
      <c r="A17" s="29" t="s">
        <v>41</v>
      </c>
      <c r="B17" s="3" t="s">
        <v>8</v>
      </c>
      <c r="C17" s="4"/>
      <c r="D17" s="4"/>
    </row>
    <row r="18" spans="1:4" x14ac:dyDescent="0.2">
      <c r="A18" s="29">
        <v>0.05</v>
      </c>
      <c r="B18" s="33">
        <v>1.6000000000000001E-4</v>
      </c>
      <c r="C18" s="4"/>
      <c r="D18" s="4"/>
    </row>
    <row r="19" spans="1:4" x14ac:dyDescent="0.2">
      <c r="A19" s="14">
        <v>0.1</v>
      </c>
      <c r="B19" s="5">
        <v>5.0000000000000001E-4</v>
      </c>
      <c r="C19" s="4"/>
      <c r="D19" s="4"/>
    </row>
    <row r="20" spans="1:4" x14ac:dyDescent="0.2">
      <c r="A20" s="14">
        <v>0.25</v>
      </c>
      <c r="B20" s="16">
        <v>1.2999999999999999E-3</v>
      </c>
      <c r="C20" s="4"/>
      <c r="D20" s="4"/>
    </row>
    <row r="21" spans="1:4" x14ac:dyDescent="0.2">
      <c r="A21" s="14">
        <v>1.05</v>
      </c>
      <c r="B21" s="16">
        <v>4.3E-3</v>
      </c>
      <c r="C21" s="4"/>
      <c r="D21" s="4"/>
    </row>
    <row r="22" spans="1:4" x14ac:dyDescent="0.2">
      <c r="A22" s="14">
        <v>7.1433333299999999</v>
      </c>
      <c r="B22" s="16">
        <v>1.2E-2</v>
      </c>
      <c r="C22" s="4"/>
      <c r="D22" s="4"/>
    </row>
    <row r="23" spans="1:4" x14ac:dyDescent="0.2">
      <c r="A23" s="14">
        <v>31.8</v>
      </c>
      <c r="B23" s="16">
        <v>1.7999999999999999E-2</v>
      </c>
      <c r="C23" s="4"/>
      <c r="D23" s="4"/>
    </row>
    <row r="24" spans="1:4" x14ac:dyDescent="0.2">
      <c r="A24" s="14">
        <v>674</v>
      </c>
      <c r="B24" s="16">
        <v>3.6999999999999998E-2</v>
      </c>
      <c r="C24" s="4"/>
      <c r="D24" s="4"/>
    </row>
    <row r="25" spans="1:4" x14ac:dyDescent="0.2">
      <c r="B25" s="16"/>
      <c r="C25" s="4"/>
      <c r="D25" s="4"/>
    </row>
    <row r="26" spans="1:4" x14ac:dyDescent="0.2">
      <c r="B26" s="16"/>
      <c r="C26" s="4"/>
      <c r="D26" s="4"/>
    </row>
    <row r="27" spans="1:4" x14ac:dyDescent="0.2">
      <c r="B27" s="16"/>
      <c r="C27" s="4"/>
      <c r="D27" s="4"/>
    </row>
    <row r="28" spans="1:4" x14ac:dyDescent="0.2">
      <c r="B28" s="14"/>
      <c r="C28" s="4"/>
      <c r="D28" s="4"/>
    </row>
    <row r="29" spans="1:4" x14ac:dyDescent="0.2">
      <c r="B29" s="14"/>
      <c r="C29" s="4"/>
      <c r="D29" s="4"/>
    </row>
    <row r="30" spans="1:4" x14ac:dyDescent="0.2">
      <c r="B30" s="14"/>
      <c r="C30" s="4"/>
      <c r="D30" s="4"/>
    </row>
    <row r="31" spans="1:4" x14ac:dyDescent="0.2">
      <c r="B31" s="14"/>
      <c r="C31" s="4"/>
      <c r="D31" s="4"/>
    </row>
    <row r="32" spans="1:4" x14ac:dyDescent="0.2">
      <c r="B32" s="14"/>
    </row>
    <row r="33" spans="2:2" x14ac:dyDescent="0.2">
      <c r="B33" s="14"/>
    </row>
    <row r="34" spans="2:2" x14ac:dyDescent="0.2">
      <c r="B34" s="14"/>
    </row>
    <row r="35" spans="2:2" x14ac:dyDescent="0.2">
      <c r="B35" s="14"/>
    </row>
    <row r="36" spans="2:2" x14ac:dyDescent="0.2">
      <c r="B36" s="14"/>
    </row>
    <row r="37" spans="2:2" x14ac:dyDescent="0.2">
      <c r="B37" s="14"/>
    </row>
    <row r="38" spans="2:2" x14ac:dyDescent="0.2">
      <c r="B38" s="14"/>
    </row>
    <row r="39" spans="2:2" x14ac:dyDescent="0.2">
      <c r="B39" s="14"/>
    </row>
    <row r="40" spans="2:2" x14ac:dyDescent="0.2">
      <c r="B40" s="14"/>
    </row>
    <row r="41" spans="2:2" x14ac:dyDescent="0.2">
      <c r="B41" s="14"/>
    </row>
    <row r="42" spans="2:2" x14ac:dyDescent="0.2">
      <c r="B42" s="14"/>
    </row>
    <row r="43" spans="2:2" x14ac:dyDescent="0.2">
      <c r="B43" s="14"/>
    </row>
    <row r="44" spans="2:2" x14ac:dyDescent="0.2">
      <c r="B44" s="14"/>
    </row>
    <row r="45" spans="2:2" x14ac:dyDescent="0.2">
      <c r="B45" s="14"/>
    </row>
    <row r="46" spans="2:2" x14ac:dyDescent="0.2">
      <c r="B46" s="14"/>
    </row>
    <row r="47" spans="2:2" x14ac:dyDescent="0.2">
      <c r="B47" s="14"/>
    </row>
  </sheetData>
  <dataValidations count="1">
    <dataValidation type="decimal" operator="greaterThan" allowBlank="1" showInputMessage="1" showErrorMessage="1" sqref="A13:D13">
      <formula1>0</formula1>
    </dataValidation>
  </dataValidations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'Hantush Data'!$C$2:$N$2</xm:f>
          </x14:formula1>
          <xm:sqref>E13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I44"/>
  <sheetViews>
    <sheetView tabSelected="1" workbookViewId="0">
      <selection activeCell="S12" sqref="S12"/>
    </sheetView>
  </sheetViews>
  <sheetFormatPr defaultRowHeight="12.75" x14ac:dyDescent="0.2"/>
  <cols>
    <col min="1" max="1" width="10" style="1" bestFit="1" customWidth="1"/>
    <col min="2" max="2" width="10.7109375" style="1" customWidth="1"/>
    <col min="3" max="3" width="11.5703125" style="1" customWidth="1"/>
    <col min="4" max="4" width="10.85546875" style="1" customWidth="1"/>
    <col min="5" max="5" width="9.5703125" style="1" customWidth="1"/>
    <col min="6" max="6" width="9" style="1" customWidth="1"/>
    <col min="7" max="7" width="18.140625" style="1" customWidth="1"/>
    <col min="8" max="8" width="17.42578125" style="1" customWidth="1"/>
    <col min="9" max="16384" width="9.140625" style="1"/>
  </cols>
  <sheetData>
    <row r="7" spans="1:9" x14ac:dyDescent="0.2">
      <c r="A7" s="8"/>
    </row>
    <row r="8" spans="1:9" x14ac:dyDescent="0.2">
      <c r="A8" s="8"/>
    </row>
    <row r="10" spans="1:9" s="7" customFormat="1" x14ac:dyDescent="0.2">
      <c r="A10" s="3" t="s">
        <v>4</v>
      </c>
      <c r="B10" s="3" t="s">
        <v>5</v>
      </c>
      <c r="C10" s="3" t="s">
        <v>12</v>
      </c>
      <c r="D10" s="3" t="s">
        <v>7</v>
      </c>
      <c r="E10" s="3" t="s">
        <v>13</v>
      </c>
      <c r="F10" s="7" t="s">
        <v>18</v>
      </c>
      <c r="G10" s="7" t="s">
        <v>27</v>
      </c>
      <c r="I10" s="8"/>
    </row>
    <row r="11" spans="1:9" x14ac:dyDescent="0.2">
      <c r="A11" s="23">
        <v>0.52847999999999995</v>
      </c>
      <c r="B11" s="23">
        <v>120</v>
      </c>
      <c r="C11" s="23">
        <v>0.75</v>
      </c>
      <c r="D11" s="23">
        <v>8.9999999999999993E-3</v>
      </c>
      <c r="E11" s="27">
        <v>0.14000000000000001</v>
      </c>
      <c r="F11" s="27">
        <v>25</v>
      </c>
      <c r="G11" s="23">
        <v>0.06</v>
      </c>
    </row>
    <row r="12" spans="1:9" x14ac:dyDescent="0.2">
      <c r="G12" s="7" t="s">
        <v>36</v>
      </c>
    </row>
    <row r="13" spans="1:9" s="7" customFormat="1" x14ac:dyDescent="0.2">
      <c r="A13" s="6" t="s">
        <v>23</v>
      </c>
      <c r="B13" s="3"/>
      <c r="C13" s="6"/>
      <c r="D13" s="6"/>
      <c r="E13" s="6"/>
      <c r="G13" s="5">
        <f>G11*(F11/B11)^2</f>
        <v>2.604166666666667E-3</v>
      </c>
    </row>
    <row r="14" spans="1:9" s="7" customFormat="1" x14ac:dyDescent="0.2">
      <c r="A14" s="29" t="s">
        <v>41</v>
      </c>
      <c r="B14" s="3" t="s">
        <v>8</v>
      </c>
      <c r="C14" s="3"/>
      <c r="D14" s="3"/>
      <c r="E14" s="3"/>
    </row>
    <row r="15" spans="1:9" x14ac:dyDescent="0.2">
      <c r="A15" s="17">
        <v>23.5</v>
      </c>
      <c r="B15" s="16">
        <v>3.0079999999999998E-3</v>
      </c>
      <c r="C15" s="4"/>
      <c r="D15" s="4"/>
      <c r="E15" s="4"/>
    </row>
    <row r="16" spans="1:9" x14ac:dyDescent="0.2">
      <c r="A16" s="17">
        <v>47</v>
      </c>
      <c r="B16" s="16">
        <v>1.3184E-2</v>
      </c>
      <c r="C16" s="4"/>
      <c r="D16" s="4"/>
      <c r="E16" s="4"/>
    </row>
    <row r="17" spans="1:5" x14ac:dyDescent="0.2">
      <c r="A17" s="17">
        <v>78.333333333333343</v>
      </c>
      <c r="B17" s="16">
        <v>2.656E-2</v>
      </c>
      <c r="C17" s="4"/>
      <c r="D17" s="4"/>
      <c r="E17" s="4"/>
    </row>
    <row r="18" spans="1:5" x14ac:dyDescent="0.2">
      <c r="A18" s="17">
        <v>117.5</v>
      </c>
      <c r="B18" s="16">
        <v>3.9744000000000002E-2</v>
      </c>
      <c r="C18" s="4"/>
      <c r="D18" s="4"/>
      <c r="E18" s="4"/>
    </row>
    <row r="19" spans="1:5" x14ac:dyDescent="0.2">
      <c r="A19" s="17">
        <v>235</v>
      </c>
      <c r="B19" s="16">
        <v>6.3743999999999995E-2</v>
      </c>
      <c r="C19" s="4"/>
      <c r="D19" s="4"/>
      <c r="E19" s="4"/>
    </row>
    <row r="20" spans="1:5" x14ac:dyDescent="0.2">
      <c r="A20" s="17">
        <v>470</v>
      </c>
      <c r="B20" s="16">
        <v>8.3839999999999998E-2</v>
      </c>
      <c r="C20" s="4"/>
      <c r="D20" s="4"/>
      <c r="E20" s="4"/>
    </row>
    <row r="21" spans="1:5" x14ac:dyDescent="0.2">
      <c r="A21" s="17">
        <v>783.33333333333337</v>
      </c>
      <c r="B21" s="16">
        <v>9.3439999999999995E-2</v>
      </c>
      <c r="C21" s="4"/>
      <c r="D21" s="4"/>
      <c r="E21" s="4"/>
    </row>
    <row r="22" spans="1:5" x14ac:dyDescent="0.2">
      <c r="A22" s="17">
        <v>1175</v>
      </c>
      <c r="B22" s="16">
        <v>9.7280000000000005E-2</v>
      </c>
      <c r="C22" s="4"/>
      <c r="D22" s="4"/>
      <c r="E22" s="4"/>
    </row>
    <row r="23" spans="1:5" x14ac:dyDescent="0.2">
      <c r="A23" s="17">
        <v>2350</v>
      </c>
      <c r="B23" s="16">
        <v>0.107</v>
      </c>
      <c r="C23" s="4"/>
      <c r="D23" s="4"/>
      <c r="E23" s="4"/>
    </row>
    <row r="24" spans="1:5" x14ac:dyDescent="0.2">
      <c r="A24" s="17">
        <v>4087</v>
      </c>
      <c r="B24" s="16">
        <v>0.11646028291182209</v>
      </c>
      <c r="C24" s="4"/>
      <c r="D24" s="4"/>
      <c r="E24" s="4"/>
    </row>
    <row r="25" spans="1:5" x14ac:dyDescent="0.2">
      <c r="A25" s="17">
        <v>7476</v>
      </c>
      <c r="B25" s="16">
        <v>0.13200000000000001</v>
      </c>
      <c r="C25" s="4"/>
      <c r="D25" s="4"/>
      <c r="E25" s="4"/>
    </row>
    <row r="26" spans="1:5" x14ac:dyDescent="0.2">
      <c r="A26" s="17">
        <v>12362</v>
      </c>
      <c r="B26" s="16">
        <v>0.14699999999999999</v>
      </c>
      <c r="C26" s="4"/>
      <c r="D26" s="4"/>
      <c r="E26" s="4"/>
    </row>
    <row r="27" spans="1:5" x14ac:dyDescent="0.2">
      <c r="A27" s="17"/>
      <c r="B27" s="16"/>
      <c r="C27" s="4"/>
      <c r="D27" s="4"/>
      <c r="E27" s="4"/>
    </row>
    <row r="28" spans="1:5" x14ac:dyDescent="0.2">
      <c r="A28" s="14"/>
      <c r="B28" s="16"/>
      <c r="C28" s="4"/>
      <c r="D28" s="4"/>
      <c r="E28" s="4"/>
    </row>
    <row r="29" spans="1:5" x14ac:dyDescent="0.2">
      <c r="A29" s="14"/>
      <c r="B29" s="14"/>
    </row>
    <row r="30" spans="1:5" x14ac:dyDescent="0.2">
      <c r="A30" s="14"/>
      <c r="B30" s="14"/>
    </row>
    <row r="31" spans="1:5" x14ac:dyDescent="0.2">
      <c r="A31" s="14"/>
      <c r="B31" s="14"/>
    </row>
    <row r="32" spans="1:5" x14ac:dyDescent="0.2">
      <c r="A32" s="14"/>
      <c r="B32" s="14"/>
    </row>
    <row r="33" spans="1:2" x14ac:dyDescent="0.2">
      <c r="A33" s="14"/>
      <c r="B33" s="14"/>
    </row>
    <row r="34" spans="1:2" x14ac:dyDescent="0.2">
      <c r="A34" s="14"/>
      <c r="B34" s="14"/>
    </row>
    <row r="35" spans="1:2" x14ac:dyDescent="0.2">
      <c r="A35" s="14"/>
      <c r="B35" s="14"/>
    </row>
    <row r="36" spans="1:2" x14ac:dyDescent="0.2">
      <c r="A36" s="14"/>
      <c r="B36" s="14"/>
    </row>
    <row r="37" spans="1:2" x14ac:dyDescent="0.2">
      <c r="A37" s="14"/>
      <c r="B37" s="14"/>
    </row>
    <row r="38" spans="1:2" x14ac:dyDescent="0.2">
      <c r="A38" s="14"/>
      <c r="B38" s="14"/>
    </row>
    <row r="39" spans="1:2" x14ac:dyDescent="0.2">
      <c r="A39" s="14"/>
      <c r="B39" s="14"/>
    </row>
    <row r="40" spans="1:2" x14ac:dyDescent="0.2">
      <c r="A40" s="14"/>
      <c r="B40" s="14"/>
    </row>
    <row r="41" spans="1:2" x14ac:dyDescent="0.2">
      <c r="A41" s="14"/>
      <c r="B41" s="14"/>
    </row>
    <row r="42" spans="1:2" x14ac:dyDescent="0.2">
      <c r="A42" s="14"/>
      <c r="B42" s="14"/>
    </row>
    <row r="43" spans="1:2" x14ac:dyDescent="0.2">
      <c r="A43" s="14"/>
      <c r="B43" s="14"/>
    </row>
    <row r="44" spans="1:2" x14ac:dyDescent="0.2">
      <c r="A44" s="14"/>
      <c r="B44" s="14"/>
    </row>
  </sheetData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'Neuman Data'!$C$2:$K$2</xm:f>
          </x14:formula1>
          <xm:sqref>G11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3"/>
  <sheetViews>
    <sheetView workbookViewId="0">
      <selection activeCell="M37" sqref="M37"/>
    </sheetView>
  </sheetViews>
  <sheetFormatPr defaultRowHeight="12.75" x14ac:dyDescent="0.2"/>
  <cols>
    <col min="2" max="2" width="9.140625" customWidth="1"/>
    <col min="3" max="3" width="9.140625" style="25"/>
    <col min="4" max="4" width="5.85546875" customWidth="1"/>
    <col min="5" max="5" width="11.140625" style="20" customWidth="1"/>
    <col min="6" max="6" width="11.7109375" style="20" customWidth="1"/>
    <col min="7" max="7" width="6.140625" style="20" customWidth="1"/>
    <col min="8" max="8" width="14.85546875" style="20" customWidth="1"/>
    <col min="9" max="9" width="15.5703125" style="20" customWidth="1"/>
    <col min="10" max="10" width="9.140625" style="20"/>
    <col min="11" max="11" width="10" style="20" bestFit="1" customWidth="1"/>
    <col min="12" max="12" width="10.7109375" style="20" customWidth="1"/>
    <col min="13" max="13" width="9.42578125" style="20" bestFit="1" customWidth="1"/>
    <col min="14" max="14" width="9.140625" style="20"/>
    <col min="15" max="15" width="12.28515625" style="20" customWidth="1"/>
    <col min="16" max="16" width="12.28515625" customWidth="1"/>
  </cols>
  <sheetData>
    <row r="1" spans="1:16" s="10" customFormat="1" x14ac:dyDescent="0.2">
      <c r="A1" s="10" t="s">
        <v>10</v>
      </c>
      <c r="C1" s="24"/>
      <c r="E1" s="19" t="s">
        <v>24</v>
      </c>
      <c r="F1" s="19"/>
      <c r="G1" s="19"/>
      <c r="H1" s="19" t="s">
        <v>26</v>
      </c>
      <c r="I1" s="19"/>
      <c r="J1" s="19"/>
      <c r="K1" s="19" t="s">
        <v>28</v>
      </c>
      <c r="L1" s="19"/>
      <c r="M1" s="19"/>
      <c r="N1" s="19"/>
      <c r="O1" s="19" t="s">
        <v>34</v>
      </c>
    </row>
    <row r="2" spans="1:16" s="10" customFormat="1" x14ac:dyDescent="0.2">
      <c r="A2" s="10" t="s">
        <v>0</v>
      </c>
      <c r="B2" s="10" t="s">
        <v>1</v>
      </c>
      <c r="C2" s="24" t="s">
        <v>2</v>
      </c>
      <c r="E2" s="19" t="s">
        <v>3</v>
      </c>
      <c r="F2" s="19" t="s">
        <v>25</v>
      </c>
      <c r="G2" s="19"/>
      <c r="H2" s="19" t="s">
        <v>3</v>
      </c>
      <c r="I2" s="19" t="s">
        <v>25</v>
      </c>
      <c r="J2" s="19"/>
      <c r="K2" s="19" t="s">
        <v>29</v>
      </c>
      <c r="L2" s="19" t="s">
        <v>30</v>
      </c>
      <c r="M2" s="19" t="s">
        <v>25</v>
      </c>
      <c r="N2" s="19"/>
      <c r="O2" s="19" t="s">
        <v>3</v>
      </c>
      <c r="P2" s="19" t="s">
        <v>25</v>
      </c>
    </row>
    <row r="3" spans="1:16" x14ac:dyDescent="0.2">
      <c r="A3" s="9">
        <v>1.0000000000000001E-5</v>
      </c>
      <c r="B3" s="9">
        <f>1/A3</f>
        <v>99999.999999999985</v>
      </c>
      <c r="C3" s="25">
        <v>10.94</v>
      </c>
      <c r="E3" s="20">
        <f>B3*$E$29</f>
        <v>51538.823529411762</v>
      </c>
      <c r="F3" s="20">
        <f>C3*$F$29</f>
        <v>1.175279677262101</v>
      </c>
      <c r="H3" s="20">
        <f>B3*$H$29</f>
        <v>390361.44578313245</v>
      </c>
      <c r="I3" s="20">
        <f>C3*$I$29</f>
        <v>0.55431664778177159</v>
      </c>
      <c r="K3" s="20">
        <f>$K$29*B3</f>
        <v>4319999.9999999991</v>
      </c>
      <c r="L3" s="20">
        <f>$L$29*B3</f>
        <v>67200000</v>
      </c>
      <c r="M3" s="20">
        <f>$M$29*C3</f>
        <v>0.61344375687849395</v>
      </c>
      <c r="O3" s="20">
        <f>B3*$O$29</f>
        <v>4687.4999999999991</v>
      </c>
      <c r="P3" s="20">
        <f>C3*$P$29</f>
        <v>0.15336093921962349</v>
      </c>
    </row>
    <row r="4" spans="1:16" x14ac:dyDescent="0.2">
      <c r="A4" s="9">
        <v>2.0000000000000002E-5</v>
      </c>
      <c r="B4" s="9">
        <f t="shared" ref="B4:B25" si="0">1/A4</f>
        <v>49999.999999999993</v>
      </c>
      <c r="C4" s="25">
        <v>10.24</v>
      </c>
      <c r="E4" s="20">
        <f t="shared" ref="E4:E25" si="1">B4*$E$29</f>
        <v>25769.411764705881</v>
      </c>
      <c r="F4" s="20">
        <f t="shared" ref="F4:F25" si="2">C4*$F$29</f>
        <v>1.1000789666511805</v>
      </c>
      <c r="H4" s="20">
        <f t="shared" ref="H4:H25" si="3">B4*$H$29</f>
        <v>195180.72289156623</v>
      </c>
      <c r="I4" s="20">
        <f t="shared" ref="I4:I25" si="4">C4*$I$29</f>
        <v>0.51884848933138406</v>
      </c>
      <c r="K4" s="20">
        <f t="shared" ref="K4:K25" si="5">$K$29*B4</f>
        <v>2159999.9999999995</v>
      </c>
      <c r="L4" s="20">
        <f t="shared" ref="L4:L25" si="6">$L$29*B4</f>
        <v>33600000</v>
      </c>
      <c r="M4" s="20">
        <f t="shared" ref="M4:M25" si="7">$M$29*C4</f>
        <v>0.57419232819339838</v>
      </c>
      <c r="O4" s="20">
        <f t="shared" ref="O4:O25" si="8">B4*$O$29</f>
        <v>2343.7499999999995</v>
      </c>
      <c r="P4" s="20">
        <f t="shared" ref="P4:P25" si="9">C4*$P$29</f>
        <v>0.1435480820483496</v>
      </c>
    </row>
    <row r="5" spans="1:16" x14ac:dyDescent="0.2">
      <c r="A5" s="9">
        <v>4.0000000000000003E-5</v>
      </c>
      <c r="B5" s="9">
        <f t="shared" si="0"/>
        <v>24999.999999999996</v>
      </c>
      <c r="C5" s="25">
        <v>9.5500000000000007</v>
      </c>
      <c r="E5" s="20">
        <f t="shared" si="1"/>
        <v>12884.705882352941</v>
      </c>
      <c r="F5" s="20">
        <f t="shared" si="2"/>
        <v>1.0259525519061303</v>
      </c>
      <c r="H5" s="20">
        <f t="shared" si="3"/>
        <v>97590.361445783114</v>
      </c>
      <c r="I5" s="20">
        <f t="shared" si="4"/>
        <v>0.48388701885885921</v>
      </c>
      <c r="K5" s="20">
        <f t="shared" si="5"/>
        <v>1079999.9999999998</v>
      </c>
      <c r="L5" s="20">
        <f t="shared" si="6"/>
        <v>16800000</v>
      </c>
      <c r="M5" s="20">
        <f t="shared" si="7"/>
        <v>0.53550163420380426</v>
      </c>
      <c r="O5" s="20">
        <f t="shared" si="8"/>
        <v>1171.8749999999998</v>
      </c>
      <c r="P5" s="20">
        <f t="shared" si="9"/>
        <v>0.13387540855095106</v>
      </c>
    </row>
    <row r="6" spans="1:16" x14ac:dyDescent="0.2">
      <c r="A6" s="9">
        <v>6.9999999999999994E-5</v>
      </c>
      <c r="B6" s="9">
        <f t="shared" si="0"/>
        <v>14285.714285714286</v>
      </c>
      <c r="C6" s="25">
        <v>8.99</v>
      </c>
      <c r="E6" s="20">
        <f t="shared" si="1"/>
        <v>7362.6890756302528</v>
      </c>
      <c r="F6" s="20">
        <f t="shared" si="2"/>
        <v>0.96579198341739392</v>
      </c>
      <c r="H6" s="20">
        <f t="shared" si="3"/>
        <v>55765.92082616179</v>
      </c>
      <c r="I6" s="20">
        <f t="shared" si="4"/>
        <v>0.4555124920985491</v>
      </c>
      <c r="K6" s="20">
        <f t="shared" si="5"/>
        <v>617142.85714285716</v>
      </c>
      <c r="L6" s="20">
        <f t="shared" si="6"/>
        <v>9600000.0000000019</v>
      </c>
      <c r="M6" s="20">
        <f t="shared" si="7"/>
        <v>0.50410049125572776</v>
      </c>
      <c r="O6" s="20">
        <f t="shared" si="8"/>
        <v>669.64285714285711</v>
      </c>
      <c r="P6" s="20">
        <f t="shared" si="9"/>
        <v>0.12602512281393194</v>
      </c>
    </row>
    <row r="7" spans="1:16" x14ac:dyDescent="0.2">
      <c r="A7" s="9">
        <v>1E-4</v>
      </c>
      <c r="B7" s="9">
        <f t="shared" si="0"/>
        <v>10000</v>
      </c>
      <c r="C7" s="25">
        <v>8.6300000000000008</v>
      </c>
      <c r="E7" s="20">
        <f t="shared" si="1"/>
        <v>5153.8823529411766</v>
      </c>
      <c r="F7" s="20">
        <f t="shared" si="2"/>
        <v>0.92711733224606341</v>
      </c>
      <c r="H7" s="20">
        <f t="shared" si="3"/>
        <v>39036.144578313251</v>
      </c>
      <c r="I7" s="20">
        <f t="shared" si="4"/>
        <v>0.43727172489549265</v>
      </c>
      <c r="K7" s="20">
        <f t="shared" si="5"/>
        <v>431999.99999999994</v>
      </c>
      <c r="L7" s="20">
        <f t="shared" si="6"/>
        <v>6720000.0000000009</v>
      </c>
      <c r="M7" s="20">
        <f t="shared" si="7"/>
        <v>0.48391404221767859</v>
      </c>
      <c r="O7" s="20">
        <f t="shared" si="8"/>
        <v>468.75</v>
      </c>
      <c r="P7" s="20">
        <f t="shared" si="9"/>
        <v>0.12097851055441965</v>
      </c>
    </row>
    <row r="8" spans="1:16" x14ac:dyDescent="0.2">
      <c r="A8" s="9">
        <v>2.0000000000000001E-4</v>
      </c>
      <c r="B8" s="9">
        <f t="shared" si="0"/>
        <v>5000</v>
      </c>
      <c r="C8" s="25">
        <v>7.94</v>
      </c>
      <c r="E8" s="20">
        <f t="shared" si="1"/>
        <v>2576.9411764705883</v>
      </c>
      <c r="F8" s="20">
        <f t="shared" si="2"/>
        <v>0.85299091750101308</v>
      </c>
      <c r="H8" s="20">
        <f t="shared" si="3"/>
        <v>19518.072289156626</v>
      </c>
      <c r="I8" s="20">
        <f t="shared" si="4"/>
        <v>0.40231025442296775</v>
      </c>
      <c r="K8" s="20">
        <f t="shared" si="5"/>
        <v>215999.99999999997</v>
      </c>
      <c r="L8" s="20">
        <f t="shared" si="6"/>
        <v>3360000.0000000005</v>
      </c>
      <c r="M8" s="20">
        <f t="shared" si="7"/>
        <v>0.44522334822808435</v>
      </c>
      <c r="O8" s="20">
        <f t="shared" si="8"/>
        <v>234.375</v>
      </c>
      <c r="P8" s="20">
        <f t="shared" si="9"/>
        <v>0.11130583705702109</v>
      </c>
    </row>
    <row r="9" spans="1:16" x14ac:dyDescent="0.2">
      <c r="A9" s="9">
        <v>4.0000000000000002E-4</v>
      </c>
      <c r="B9" s="9">
        <f t="shared" si="0"/>
        <v>2500</v>
      </c>
      <c r="C9" s="25">
        <v>7.25</v>
      </c>
      <c r="E9" s="20">
        <f t="shared" si="1"/>
        <v>1288.4705882352941</v>
      </c>
      <c r="F9" s="20">
        <f t="shared" si="2"/>
        <v>0.77886450275596275</v>
      </c>
      <c r="H9" s="20">
        <f t="shared" si="3"/>
        <v>9759.0361445783128</v>
      </c>
      <c r="I9" s="20">
        <f t="shared" si="4"/>
        <v>0.36734878395044285</v>
      </c>
      <c r="K9" s="20">
        <f t="shared" si="5"/>
        <v>107999.99999999999</v>
      </c>
      <c r="L9" s="20">
        <f t="shared" si="6"/>
        <v>1680000.0000000002</v>
      </c>
      <c r="M9" s="20">
        <f t="shared" si="7"/>
        <v>0.40653265423849005</v>
      </c>
      <c r="O9" s="20">
        <f t="shared" si="8"/>
        <v>117.1875</v>
      </c>
      <c r="P9" s="20">
        <f t="shared" si="9"/>
        <v>0.10163316355962251</v>
      </c>
    </row>
    <row r="10" spans="1:16" x14ac:dyDescent="0.2">
      <c r="A10" s="9">
        <v>6.9999999999999999E-4</v>
      </c>
      <c r="B10" s="9">
        <f t="shared" si="0"/>
        <v>1428.5714285714287</v>
      </c>
      <c r="C10" s="25">
        <v>6.69</v>
      </c>
      <c r="E10" s="20">
        <f t="shared" si="1"/>
        <v>736.26890756302532</v>
      </c>
      <c r="F10" s="20">
        <f t="shared" si="2"/>
        <v>0.71870393426722634</v>
      </c>
      <c r="H10" s="20">
        <f t="shared" si="3"/>
        <v>5576.5920826161791</v>
      </c>
      <c r="I10" s="20">
        <f t="shared" si="4"/>
        <v>0.3389742571901328</v>
      </c>
      <c r="K10" s="20">
        <f t="shared" si="5"/>
        <v>61714.28571428571</v>
      </c>
      <c r="L10" s="20">
        <f t="shared" si="6"/>
        <v>960000.00000000023</v>
      </c>
      <c r="M10" s="20">
        <f t="shared" si="7"/>
        <v>0.37513151129041361</v>
      </c>
      <c r="O10" s="20">
        <f t="shared" si="8"/>
        <v>66.964285714285722</v>
      </c>
      <c r="P10" s="20">
        <f t="shared" si="9"/>
        <v>9.3782877822603403E-2</v>
      </c>
    </row>
    <row r="11" spans="1:16" x14ac:dyDescent="0.2">
      <c r="A11" s="9">
        <v>1E-3</v>
      </c>
      <c r="B11" s="9">
        <f t="shared" si="0"/>
        <v>1000</v>
      </c>
      <c r="C11" s="25">
        <v>6.33</v>
      </c>
      <c r="E11" s="20">
        <f t="shared" si="1"/>
        <v>515.38823529411775</v>
      </c>
      <c r="F11" s="20">
        <f t="shared" si="2"/>
        <v>0.68002928309589583</v>
      </c>
      <c r="H11" s="20">
        <f t="shared" si="3"/>
        <v>3903.6144578313251</v>
      </c>
      <c r="I11" s="20">
        <f t="shared" si="4"/>
        <v>0.32073348998707629</v>
      </c>
      <c r="K11" s="20">
        <f t="shared" si="5"/>
        <v>43199.999999999993</v>
      </c>
      <c r="L11" s="20">
        <f t="shared" si="6"/>
        <v>672000.00000000012</v>
      </c>
      <c r="M11" s="20">
        <f t="shared" si="7"/>
        <v>0.35494506225236444</v>
      </c>
      <c r="O11" s="20">
        <f t="shared" si="8"/>
        <v>46.875</v>
      </c>
      <c r="P11" s="20">
        <f t="shared" si="9"/>
        <v>8.873626556309111E-2</v>
      </c>
    </row>
    <row r="12" spans="1:16" x14ac:dyDescent="0.2">
      <c r="A12" s="9">
        <v>2E-3</v>
      </c>
      <c r="B12" s="9">
        <f t="shared" si="0"/>
        <v>500</v>
      </c>
      <c r="C12" s="25">
        <v>5.64</v>
      </c>
      <c r="E12" s="20">
        <f t="shared" si="1"/>
        <v>257.69411764705887</v>
      </c>
      <c r="F12" s="20">
        <f t="shared" si="2"/>
        <v>0.6059028683508455</v>
      </c>
      <c r="H12" s="20">
        <f t="shared" si="3"/>
        <v>1951.8072289156626</v>
      </c>
      <c r="I12" s="20">
        <f t="shared" si="4"/>
        <v>0.28577201951455139</v>
      </c>
      <c r="K12" s="20">
        <f t="shared" si="5"/>
        <v>21599.999999999996</v>
      </c>
      <c r="L12" s="20">
        <f t="shared" si="6"/>
        <v>336000.00000000006</v>
      </c>
      <c r="M12" s="20">
        <f t="shared" si="7"/>
        <v>0.3162543682627702</v>
      </c>
      <c r="O12" s="20">
        <f t="shared" si="8"/>
        <v>23.4375</v>
      </c>
      <c r="P12" s="20">
        <f t="shared" si="9"/>
        <v>7.9063592065692551E-2</v>
      </c>
    </row>
    <row r="13" spans="1:16" x14ac:dyDescent="0.2">
      <c r="A13" s="9">
        <v>4.0000000000000001E-3</v>
      </c>
      <c r="B13" s="9">
        <f t="shared" si="0"/>
        <v>250</v>
      </c>
      <c r="C13" s="25">
        <v>4.95</v>
      </c>
      <c r="E13" s="20">
        <f t="shared" si="1"/>
        <v>128.84705882352944</v>
      </c>
      <c r="F13" s="20">
        <f t="shared" si="2"/>
        <v>0.53177645360579529</v>
      </c>
      <c r="H13" s="20">
        <f t="shared" si="3"/>
        <v>975.90361445783128</v>
      </c>
      <c r="I13" s="20">
        <f t="shared" si="4"/>
        <v>0.25081054904202649</v>
      </c>
      <c r="K13" s="20">
        <f t="shared" si="5"/>
        <v>10799.999999999998</v>
      </c>
      <c r="L13" s="20">
        <f t="shared" si="6"/>
        <v>168000.00000000003</v>
      </c>
      <c r="M13" s="20">
        <f t="shared" si="7"/>
        <v>0.27756367427317602</v>
      </c>
      <c r="O13" s="20">
        <f t="shared" si="8"/>
        <v>11.71875</v>
      </c>
      <c r="P13" s="20">
        <f t="shared" si="9"/>
        <v>6.9390918568294005E-2</v>
      </c>
    </row>
    <row r="14" spans="1:16" x14ac:dyDescent="0.2">
      <c r="A14" s="9">
        <v>7.0000000000000001E-3</v>
      </c>
      <c r="B14" s="9">
        <f t="shared" si="0"/>
        <v>142.85714285714286</v>
      </c>
      <c r="C14" s="25">
        <v>4.3899999999999997</v>
      </c>
      <c r="E14" s="20">
        <f t="shared" si="1"/>
        <v>73.626890756302529</v>
      </c>
      <c r="F14" s="20">
        <f t="shared" si="2"/>
        <v>0.47161588511705882</v>
      </c>
      <c r="H14" s="20">
        <f t="shared" si="3"/>
        <v>557.65920826161789</v>
      </c>
      <c r="I14" s="20">
        <f t="shared" si="4"/>
        <v>0.22243602228171641</v>
      </c>
      <c r="K14" s="20">
        <f t="shared" si="5"/>
        <v>6171.4285714285706</v>
      </c>
      <c r="L14" s="20">
        <f t="shared" si="6"/>
        <v>96000.000000000015</v>
      </c>
      <c r="M14" s="20">
        <f t="shared" si="7"/>
        <v>0.24616253132509949</v>
      </c>
      <c r="O14" s="20">
        <f t="shared" si="8"/>
        <v>6.6964285714285712</v>
      </c>
      <c r="P14" s="20">
        <f t="shared" si="9"/>
        <v>6.1540632831274873E-2</v>
      </c>
    </row>
    <row r="15" spans="1:16" x14ac:dyDescent="0.2">
      <c r="A15" s="9">
        <v>0.01</v>
      </c>
      <c r="B15" s="9">
        <f t="shared" si="0"/>
        <v>100</v>
      </c>
      <c r="C15" s="25">
        <v>4.04</v>
      </c>
      <c r="E15" s="20">
        <f t="shared" si="1"/>
        <v>51.538823529411772</v>
      </c>
      <c r="F15" s="20">
        <f t="shared" si="2"/>
        <v>0.43401552981159858</v>
      </c>
      <c r="H15" s="20">
        <f t="shared" si="3"/>
        <v>390.36144578313252</v>
      </c>
      <c r="I15" s="20">
        <f t="shared" si="4"/>
        <v>0.20470194305652262</v>
      </c>
      <c r="K15" s="20">
        <f t="shared" si="5"/>
        <v>4320</v>
      </c>
      <c r="L15" s="20">
        <f t="shared" si="6"/>
        <v>67200.000000000015</v>
      </c>
      <c r="M15" s="20">
        <f t="shared" si="7"/>
        <v>0.22653681698255171</v>
      </c>
      <c r="O15" s="20">
        <f t="shared" si="8"/>
        <v>4.6875</v>
      </c>
      <c r="P15" s="20">
        <f t="shared" si="9"/>
        <v>5.6634204245637927E-2</v>
      </c>
    </row>
    <row r="16" spans="1:16" x14ac:dyDescent="0.2">
      <c r="A16" s="9">
        <v>0.02</v>
      </c>
      <c r="B16" s="9">
        <f t="shared" si="0"/>
        <v>50</v>
      </c>
      <c r="C16" s="25">
        <v>3.35</v>
      </c>
      <c r="E16" s="20">
        <f t="shared" si="1"/>
        <v>25.769411764705886</v>
      </c>
      <c r="F16" s="20">
        <f t="shared" si="2"/>
        <v>0.3598891150665483</v>
      </c>
      <c r="H16" s="20">
        <f t="shared" si="3"/>
        <v>195.18072289156626</v>
      </c>
      <c r="I16" s="20">
        <f t="shared" si="4"/>
        <v>0.16974047258399771</v>
      </c>
      <c r="K16" s="20">
        <f t="shared" si="5"/>
        <v>2160</v>
      </c>
      <c r="L16" s="20">
        <f t="shared" si="6"/>
        <v>33600.000000000007</v>
      </c>
      <c r="M16" s="20">
        <f t="shared" si="7"/>
        <v>0.1878461229929575</v>
      </c>
      <c r="O16" s="20">
        <f t="shared" si="8"/>
        <v>2.34375</v>
      </c>
      <c r="P16" s="20">
        <f t="shared" si="9"/>
        <v>4.6961530748239375E-2</v>
      </c>
    </row>
    <row r="17" spans="1:16" x14ac:dyDescent="0.2">
      <c r="A17" s="9">
        <v>0.04</v>
      </c>
      <c r="B17" s="9">
        <f t="shared" si="0"/>
        <v>25</v>
      </c>
      <c r="C17" s="25">
        <v>2.68</v>
      </c>
      <c r="E17" s="20">
        <f t="shared" si="1"/>
        <v>12.884705882352943</v>
      </c>
      <c r="F17" s="20">
        <f t="shared" si="2"/>
        <v>0.28791129205323868</v>
      </c>
      <c r="H17" s="20">
        <f t="shared" si="3"/>
        <v>97.590361445783131</v>
      </c>
      <c r="I17" s="20">
        <f t="shared" si="4"/>
        <v>0.13579237806719818</v>
      </c>
      <c r="K17" s="20">
        <f t="shared" si="5"/>
        <v>1080</v>
      </c>
      <c r="L17" s="20">
        <f t="shared" si="6"/>
        <v>16800.000000000004</v>
      </c>
      <c r="M17" s="20">
        <f t="shared" si="7"/>
        <v>0.150276898394366</v>
      </c>
      <c r="O17" s="20">
        <f t="shared" si="8"/>
        <v>1.171875</v>
      </c>
      <c r="P17" s="20">
        <f t="shared" si="9"/>
        <v>3.7569224598591501E-2</v>
      </c>
    </row>
    <row r="18" spans="1:16" x14ac:dyDescent="0.2">
      <c r="A18" s="9">
        <v>7.0000000000000007E-2</v>
      </c>
      <c r="B18" s="9">
        <f t="shared" si="0"/>
        <v>14.285714285714285</v>
      </c>
      <c r="C18" s="25">
        <v>2.15</v>
      </c>
      <c r="E18" s="20">
        <f t="shared" si="1"/>
        <v>7.3626890756302528</v>
      </c>
      <c r="F18" s="20">
        <f t="shared" si="2"/>
        <v>0.2309736111621131</v>
      </c>
      <c r="H18" s="20">
        <f t="shared" si="3"/>
        <v>55.765920826161782</v>
      </c>
      <c r="I18" s="20">
        <f t="shared" si="4"/>
        <v>0.10893791524047615</v>
      </c>
      <c r="K18" s="20">
        <f t="shared" si="5"/>
        <v>617.142857142857</v>
      </c>
      <c r="L18" s="20">
        <f t="shared" si="6"/>
        <v>9600.0000000000018</v>
      </c>
      <c r="M18" s="20">
        <f t="shared" si="7"/>
        <v>0.12055795953279361</v>
      </c>
      <c r="O18" s="20">
        <f t="shared" si="8"/>
        <v>0.6696428571428571</v>
      </c>
      <c r="P18" s="20">
        <f t="shared" si="9"/>
        <v>3.0139489883198402E-2</v>
      </c>
    </row>
    <row r="19" spans="1:16" x14ac:dyDescent="0.2">
      <c r="A19" s="9">
        <v>0.1</v>
      </c>
      <c r="B19" s="9">
        <f t="shared" si="0"/>
        <v>10</v>
      </c>
      <c r="C19" s="25">
        <v>1.823</v>
      </c>
      <c r="E19" s="20">
        <f t="shared" si="1"/>
        <v>5.153882352941177</v>
      </c>
      <c r="F19" s="20">
        <f t="shared" si="2"/>
        <v>0.19584413634815451</v>
      </c>
      <c r="H19" s="20">
        <f t="shared" si="3"/>
        <v>39.036144578313248</v>
      </c>
      <c r="I19" s="20">
        <f t="shared" si="4"/>
        <v>9.2369218364366512E-2</v>
      </c>
      <c r="K19" s="20">
        <f t="shared" si="5"/>
        <v>431.99999999999994</v>
      </c>
      <c r="L19" s="20">
        <f t="shared" si="6"/>
        <v>6720.0000000000009</v>
      </c>
      <c r="M19" s="20">
        <f t="shared" si="7"/>
        <v>0.10222193498989895</v>
      </c>
      <c r="O19" s="20">
        <f t="shared" si="8"/>
        <v>0.46875</v>
      </c>
      <c r="P19" s="20">
        <f t="shared" si="9"/>
        <v>2.5555483747474739E-2</v>
      </c>
    </row>
    <row r="20" spans="1:16" x14ac:dyDescent="0.2">
      <c r="A20" s="9">
        <v>0.2</v>
      </c>
      <c r="B20" s="9">
        <f t="shared" si="0"/>
        <v>5</v>
      </c>
      <c r="C20" s="25">
        <v>1.2230000000000001</v>
      </c>
      <c r="E20" s="20">
        <f t="shared" si="1"/>
        <v>2.5769411764705885</v>
      </c>
      <c r="F20" s="20">
        <f t="shared" si="2"/>
        <v>0.13138638439593692</v>
      </c>
      <c r="H20" s="20">
        <f t="shared" si="3"/>
        <v>19.518072289156624</v>
      </c>
      <c r="I20" s="20">
        <f t="shared" si="4"/>
        <v>6.1967939692605736E-2</v>
      </c>
      <c r="K20" s="20">
        <f t="shared" si="5"/>
        <v>215.99999999999997</v>
      </c>
      <c r="L20" s="20">
        <f t="shared" si="6"/>
        <v>3360.0000000000005</v>
      </c>
      <c r="M20" s="20">
        <f t="shared" si="7"/>
        <v>6.8577853259817023E-2</v>
      </c>
      <c r="O20" s="20">
        <f t="shared" si="8"/>
        <v>0.234375</v>
      </c>
      <c r="P20" s="20">
        <f t="shared" si="9"/>
        <v>1.7144463314954256E-2</v>
      </c>
    </row>
    <row r="21" spans="1:16" x14ac:dyDescent="0.2">
      <c r="A21" s="9">
        <v>0.4</v>
      </c>
      <c r="B21" s="9">
        <f t="shared" si="0"/>
        <v>2.5</v>
      </c>
      <c r="C21" s="25">
        <v>0.70199999999999996</v>
      </c>
      <c r="E21" s="20">
        <f t="shared" si="1"/>
        <v>1.2884705882352943</v>
      </c>
      <c r="F21" s="20">
        <f t="shared" si="2"/>
        <v>7.5415569784094597E-2</v>
      </c>
      <c r="H21" s="20">
        <f t="shared" si="3"/>
        <v>9.759036144578312</v>
      </c>
      <c r="I21" s="20">
        <f t="shared" si="4"/>
        <v>3.5569496045960117E-2</v>
      </c>
      <c r="K21" s="20">
        <f t="shared" si="5"/>
        <v>107.99999999999999</v>
      </c>
      <c r="L21" s="20">
        <f t="shared" si="6"/>
        <v>1680.0000000000002</v>
      </c>
      <c r="M21" s="20">
        <f t="shared" si="7"/>
        <v>3.9363575624195866E-2</v>
      </c>
      <c r="O21" s="20">
        <f t="shared" si="8"/>
        <v>0.1171875</v>
      </c>
      <c r="P21" s="20">
        <f t="shared" si="9"/>
        <v>9.8408939060489666E-3</v>
      </c>
    </row>
    <row r="22" spans="1:16" x14ac:dyDescent="0.2">
      <c r="A22" s="9">
        <v>0.7</v>
      </c>
      <c r="B22" s="9">
        <f t="shared" si="0"/>
        <v>1.4285714285714286</v>
      </c>
      <c r="C22" s="25">
        <v>0.374</v>
      </c>
      <c r="E22" s="20">
        <f t="shared" si="1"/>
        <v>0.73626890756302532</v>
      </c>
      <c r="F22" s="20">
        <f t="shared" si="2"/>
        <v>4.017866538354898E-2</v>
      </c>
      <c r="H22" s="20">
        <f t="shared" si="3"/>
        <v>5.5765920826161786</v>
      </c>
      <c r="I22" s="20">
        <f t="shared" si="4"/>
        <v>1.8950130372064222E-2</v>
      </c>
      <c r="K22" s="20">
        <f t="shared" si="5"/>
        <v>61.714285714285708</v>
      </c>
      <c r="L22" s="20">
        <f t="shared" si="6"/>
        <v>960.00000000000023</v>
      </c>
      <c r="M22" s="20">
        <f t="shared" si="7"/>
        <v>2.0971477611751076E-2</v>
      </c>
      <c r="O22" s="20">
        <f t="shared" si="8"/>
        <v>6.6964285714285712E-2</v>
      </c>
      <c r="P22" s="20">
        <f t="shared" si="9"/>
        <v>5.2428694029377689E-3</v>
      </c>
    </row>
    <row r="23" spans="1:16" x14ac:dyDescent="0.2">
      <c r="A23" s="9">
        <v>1</v>
      </c>
      <c r="B23" s="9">
        <f t="shared" si="0"/>
        <v>1</v>
      </c>
      <c r="C23" s="25">
        <v>0.219</v>
      </c>
      <c r="E23" s="20">
        <f t="shared" si="1"/>
        <v>0.5153882352941177</v>
      </c>
      <c r="F23" s="20">
        <f t="shared" si="2"/>
        <v>2.3527079462559428E-2</v>
      </c>
      <c r="H23" s="20">
        <f t="shared" si="3"/>
        <v>3.903614457831325</v>
      </c>
      <c r="I23" s="20">
        <f t="shared" si="4"/>
        <v>1.1096466715192687E-2</v>
      </c>
      <c r="K23" s="20">
        <f t="shared" si="5"/>
        <v>43.199999999999996</v>
      </c>
      <c r="L23" s="20">
        <f t="shared" si="6"/>
        <v>672.00000000000011</v>
      </c>
      <c r="M23" s="20">
        <f t="shared" si="7"/>
        <v>1.2280089831479907E-2</v>
      </c>
      <c r="O23" s="20">
        <f t="shared" si="8"/>
        <v>4.6875E-2</v>
      </c>
      <c r="P23" s="20">
        <f t="shared" si="9"/>
        <v>3.0700224578699767E-3</v>
      </c>
    </row>
    <row r="24" spans="1:16" x14ac:dyDescent="0.2">
      <c r="A24" s="9">
        <v>2</v>
      </c>
      <c r="B24" s="9">
        <f t="shared" si="0"/>
        <v>0.5</v>
      </c>
      <c r="C24" s="25">
        <v>4.9000000000000002E-2</v>
      </c>
      <c r="E24" s="20">
        <f t="shared" si="1"/>
        <v>0.25769411764705885</v>
      </c>
      <c r="F24" s="20">
        <f t="shared" si="2"/>
        <v>5.2640497427644383E-3</v>
      </c>
      <c r="H24" s="20">
        <f t="shared" si="3"/>
        <v>1.9518072289156625</v>
      </c>
      <c r="I24" s="20">
        <f t="shared" si="4"/>
        <v>2.4827710915271309E-3</v>
      </c>
      <c r="K24" s="20">
        <f t="shared" si="5"/>
        <v>21.599999999999998</v>
      </c>
      <c r="L24" s="20">
        <f t="shared" si="6"/>
        <v>336.00000000000006</v>
      </c>
      <c r="M24" s="20">
        <f t="shared" si="7"/>
        <v>2.7476000079566915E-3</v>
      </c>
      <c r="O24" s="20">
        <f t="shared" si="8"/>
        <v>2.34375E-2</v>
      </c>
      <c r="P24" s="20">
        <f t="shared" si="9"/>
        <v>6.8690000198917288E-4</v>
      </c>
    </row>
    <row r="25" spans="1:16" x14ac:dyDescent="0.2">
      <c r="A25" s="9">
        <v>4</v>
      </c>
      <c r="B25" s="9">
        <f t="shared" si="0"/>
        <v>0.25</v>
      </c>
      <c r="C25" s="25">
        <v>4.0000000000000001E-3</v>
      </c>
      <c r="E25" s="20">
        <f t="shared" si="1"/>
        <v>0.12884705882352943</v>
      </c>
      <c r="F25" s="20">
        <f t="shared" si="2"/>
        <v>4.2971834634811739E-4</v>
      </c>
      <c r="H25" s="20">
        <f t="shared" si="3"/>
        <v>0.97590361445783125</v>
      </c>
      <c r="I25" s="20">
        <f t="shared" si="4"/>
        <v>2.0267519114507192E-4</v>
      </c>
      <c r="K25" s="20">
        <f t="shared" si="5"/>
        <v>10.799999999999999</v>
      </c>
      <c r="L25" s="20">
        <f t="shared" si="6"/>
        <v>168.00000000000003</v>
      </c>
      <c r="M25" s="20">
        <f t="shared" si="7"/>
        <v>2.2429387820054625E-4</v>
      </c>
      <c r="O25" s="20">
        <f t="shared" si="8"/>
        <v>1.171875E-2</v>
      </c>
      <c r="P25" s="20">
        <f t="shared" si="9"/>
        <v>5.6073469550136562E-5</v>
      </c>
    </row>
    <row r="26" spans="1:16" x14ac:dyDescent="0.2">
      <c r="A26" s="9"/>
      <c r="B26" s="9"/>
    </row>
    <row r="28" spans="1:16" x14ac:dyDescent="0.2">
      <c r="E28" s="19" t="s">
        <v>21</v>
      </c>
      <c r="F28" s="19" t="s">
        <v>22</v>
      </c>
      <c r="H28" s="19" t="s">
        <v>21</v>
      </c>
      <c r="I28" s="19" t="s">
        <v>22</v>
      </c>
      <c r="K28" s="19" t="s">
        <v>21</v>
      </c>
      <c r="L28" s="19" t="s">
        <v>31</v>
      </c>
      <c r="M28" s="19" t="s">
        <v>22</v>
      </c>
      <c r="O28" s="19" t="s">
        <v>21</v>
      </c>
      <c r="P28" s="19" t="s">
        <v>22</v>
      </c>
    </row>
    <row r="29" spans="1:16" x14ac:dyDescent="0.2">
      <c r="E29" s="20">
        <f>Theis!B11^2 * Theis!D11 / (4 * Theis!C11)</f>
        <v>0.5153882352941177</v>
      </c>
      <c r="F29" s="20">
        <f>Theis!A11/(4 * PI() * Theis!C11)</f>
        <v>0.10742958658702935</v>
      </c>
      <c r="H29" s="20">
        <f>HantushJacob!$B$11^2 * HantushJacob!$D$11 / (4*HantushJacob!$C$11)</f>
        <v>3.903614457831325</v>
      </c>
      <c r="I29" s="20">
        <f>HantushJacob!$A$11 /(4 * PI() *HantushJacob!$C$11)</f>
        <v>5.0668797786267976E-2</v>
      </c>
      <c r="K29" s="20">
        <f>Neuman!B11^2 * Neuman!D11 / (4*Neuman!C11)</f>
        <v>43.199999999999996</v>
      </c>
      <c r="L29" s="20">
        <f>Neuman!B11^2 * Neuman!E11/(4*Neuman!C11)</f>
        <v>672.00000000000011</v>
      </c>
      <c r="M29" s="20">
        <f>Neuman!A11/(4 * PI() *Neuman!C11)</f>
        <v>5.6073469550136562E-2</v>
      </c>
      <c r="O29" s="20">
        <f>'Hantush Data'!P21</f>
        <v>4.6875E-2</v>
      </c>
      <c r="P29">
        <f>'Hantush Data'!Q21</f>
        <v>1.4018367387534141E-2</v>
      </c>
    </row>
    <row r="33" spans="2:2" x14ac:dyDescent="0.2">
      <c r="B33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P35" sqref="P35"/>
    </sheetView>
  </sheetViews>
  <sheetFormatPr defaultRowHeight="12.75" x14ac:dyDescent="0.2"/>
  <cols>
    <col min="14" max="14" width="10.85546875" style="20" customWidth="1"/>
    <col min="15" max="15" width="17.140625" customWidth="1"/>
  </cols>
  <sheetData>
    <row r="1" spans="1:17" s="10" customFormat="1" x14ac:dyDescent="0.2">
      <c r="A1" s="10" t="s">
        <v>9</v>
      </c>
      <c r="C1" s="10" t="s">
        <v>11</v>
      </c>
      <c r="N1" s="19"/>
    </row>
    <row r="2" spans="1:17" s="10" customFormat="1" x14ac:dyDescent="0.2">
      <c r="A2" s="10" t="s">
        <v>0</v>
      </c>
      <c r="B2" s="10" t="s">
        <v>1</v>
      </c>
      <c r="C2" s="10">
        <v>0.01</v>
      </c>
      <c r="D2" s="10">
        <v>0.04</v>
      </c>
      <c r="E2" s="10">
        <v>0.1</v>
      </c>
      <c r="F2" s="10">
        <v>0.2</v>
      </c>
      <c r="G2" s="10">
        <v>0.4</v>
      </c>
      <c r="H2" s="10">
        <v>0.6</v>
      </c>
      <c r="I2" s="10">
        <v>1</v>
      </c>
      <c r="J2" s="10">
        <v>1.5</v>
      </c>
      <c r="K2" s="10">
        <v>2</v>
      </c>
      <c r="L2" s="10">
        <v>2.5</v>
      </c>
      <c r="N2" s="19" t="s">
        <v>19</v>
      </c>
      <c r="O2" s="10" t="s">
        <v>20</v>
      </c>
      <c r="Q2" s="10" t="s">
        <v>32</v>
      </c>
    </row>
    <row r="3" spans="1:17" s="10" customFormat="1" x14ac:dyDescent="0.2">
      <c r="A3" s="15">
        <v>1.0000000000000001E-5</v>
      </c>
      <c r="B3" s="9">
        <f>1/A3</f>
        <v>99999.999999999985</v>
      </c>
      <c r="C3" s="11">
        <v>9.42</v>
      </c>
      <c r="D3">
        <v>6.67</v>
      </c>
      <c r="E3">
        <v>4.8499999999999996</v>
      </c>
      <c r="F3">
        <v>3.51</v>
      </c>
      <c r="G3">
        <v>2.23</v>
      </c>
      <c r="H3">
        <v>1.55</v>
      </c>
      <c r="I3">
        <v>0.84199999999999997</v>
      </c>
      <c r="J3">
        <v>0.42709999999999998</v>
      </c>
      <c r="K3">
        <v>0.22800000000000001</v>
      </c>
      <c r="L3">
        <v>0.1174</v>
      </c>
      <c r="N3" s="21">
        <f>B3*$N$29</f>
        <v>390361.44578313245</v>
      </c>
      <c r="O3">
        <f>IF(INDEX($A$1:$L$24,ROW(),$Q$3)="","",$O$29* INDEX($A$1:$L$24,ROW(),$Q$3))</f>
        <v>0.11299141906337759</v>
      </c>
      <c r="Q3" s="11">
        <f>MATCH(HantushJacob!$E$11,$A$2:$L$2,0)</f>
        <v>7</v>
      </c>
    </row>
    <row r="4" spans="1:17" s="10" customFormat="1" x14ac:dyDescent="0.2">
      <c r="A4" s="15">
        <v>2.0000000000000002E-5</v>
      </c>
      <c r="B4" s="9">
        <f>1/A4</f>
        <v>49999.999999999993</v>
      </c>
      <c r="C4" s="11">
        <v>9.3000000000000007</v>
      </c>
      <c r="D4">
        <v>6.67</v>
      </c>
      <c r="E4">
        <v>4.8499999999999996</v>
      </c>
      <c r="F4">
        <v>3.51</v>
      </c>
      <c r="G4">
        <v>2.23</v>
      </c>
      <c r="H4">
        <v>1.55</v>
      </c>
      <c r="I4">
        <v>0.84199999999999997</v>
      </c>
      <c r="J4">
        <v>0.42709999999999998</v>
      </c>
      <c r="K4">
        <v>0.22800000000000001</v>
      </c>
      <c r="L4">
        <v>0.1174</v>
      </c>
      <c r="N4" s="21">
        <f t="shared" ref="N4:N24" si="0">B4*$N$29</f>
        <v>195180.72289156623</v>
      </c>
      <c r="O4">
        <f t="shared" ref="O4:O24" si="1">IF(INDEX($A$1:$L$24,ROW(),$Q$3)="","",$O$29* INDEX($A$1:$L$24,ROW(),$Q$3))</f>
        <v>0.11299141906337759</v>
      </c>
    </row>
    <row r="5" spans="1:17" s="10" customFormat="1" x14ac:dyDescent="0.2">
      <c r="A5" s="15">
        <v>4.0000000000000003E-5</v>
      </c>
      <c r="B5" s="9">
        <f>1/A5</f>
        <v>24999.999999999996</v>
      </c>
      <c r="C5" s="11">
        <v>9.01</v>
      </c>
      <c r="D5">
        <v>6.67</v>
      </c>
      <c r="E5">
        <v>4.8499999999999996</v>
      </c>
      <c r="F5">
        <v>3.51</v>
      </c>
      <c r="G5">
        <v>2.23</v>
      </c>
      <c r="H5">
        <v>1.55</v>
      </c>
      <c r="I5">
        <v>0.84199999999999997</v>
      </c>
      <c r="J5">
        <v>0.42709999999999998</v>
      </c>
      <c r="K5">
        <v>0.22800000000000001</v>
      </c>
      <c r="L5">
        <v>0.1174</v>
      </c>
      <c r="N5" s="21">
        <f t="shared" si="0"/>
        <v>97590.361445783114</v>
      </c>
      <c r="O5">
        <f t="shared" si="1"/>
        <v>0.11299141906337759</v>
      </c>
    </row>
    <row r="6" spans="1:17" s="10" customFormat="1" x14ac:dyDescent="0.2">
      <c r="A6" s="15">
        <v>6.0000000000000002E-5</v>
      </c>
      <c r="B6" s="9">
        <f>1/A6</f>
        <v>16666.666666666668</v>
      </c>
      <c r="C6" s="11">
        <v>8.77</v>
      </c>
      <c r="D6">
        <v>6.67</v>
      </c>
      <c r="E6">
        <v>4.8499999999999996</v>
      </c>
      <c r="F6">
        <v>3.51</v>
      </c>
      <c r="G6">
        <v>2.23</v>
      </c>
      <c r="H6">
        <v>1.55</v>
      </c>
      <c r="I6">
        <v>0.84199999999999997</v>
      </c>
      <c r="J6">
        <v>0.42709999999999998</v>
      </c>
      <c r="K6">
        <v>0.22800000000000001</v>
      </c>
      <c r="L6">
        <v>0.1174</v>
      </c>
      <c r="N6" s="21">
        <f t="shared" si="0"/>
        <v>65060.240963855424</v>
      </c>
      <c r="O6">
        <f t="shared" si="1"/>
        <v>0.11299141906337759</v>
      </c>
    </row>
    <row r="7" spans="1:17" x14ac:dyDescent="0.2">
      <c r="A7" s="9">
        <v>1E-4</v>
      </c>
      <c r="B7" s="9">
        <f t="shared" ref="B7:B24" si="2">1/A7</f>
        <v>10000</v>
      </c>
      <c r="C7">
        <v>8.4</v>
      </c>
      <c r="D7">
        <v>6.67</v>
      </c>
      <c r="E7">
        <v>4.8499999999999996</v>
      </c>
      <c r="F7">
        <v>3.51</v>
      </c>
      <c r="G7">
        <v>2.23</v>
      </c>
      <c r="H7">
        <v>1.55</v>
      </c>
      <c r="I7">
        <v>0.84199999999999997</v>
      </c>
      <c r="J7">
        <v>0.42709999999999998</v>
      </c>
      <c r="K7">
        <v>0.22800000000000001</v>
      </c>
      <c r="L7">
        <v>0.1174</v>
      </c>
      <c r="N7" s="21">
        <f t="shared" si="0"/>
        <v>39036.144578313251</v>
      </c>
      <c r="O7">
        <f t="shared" si="1"/>
        <v>0.11299141906337759</v>
      </c>
    </row>
    <row r="8" spans="1:17" x14ac:dyDescent="0.2">
      <c r="A8" s="9">
        <v>2.0000000000000001E-4</v>
      </c>
      <c r="B8" s="9">
        <f t="shared" si="2"/>
        <v>5000</v>
      </c>
      <c r="C8">
        <v>7.82</v>
      </c>
      <c r="D8">
        <v>6.62</v>
      </c>
      <c r="E8">
        <v>4.8499999999999996</v>
      </c>
      <c r="F8">
        <v>3.51</v>
      </c>
      <c r="G8">
        <v>2.23</v>
      </c>
      <c r="H8">
        <v>1.55</v>
      </c>
      <c r="I8">
        <v>0.84199999999999997</v>
      </c>
      <c r="J8">
        <v>0.42709999999999998</v>
      </c>
      <c r="K8">
        <v>0.22800000000000001</v>
      </c>
      <c r="L8">
        <v>0.1174</v>
      </c>
      <c r="N8" s="21">
        <f t="shared" si="0"/>
        <v>19518.072289156626</v>
      </c>
      <c r="O8">
        <f t="shared" si="1"/>
        <v>0.11299141906337759</v>
      </c>
    </row>
    <row r="9" spans="1:17" x14ac:dyDescent="0.2">
      <c r="A9" s="9">
        <v>4.0000000000000002E-4</v>
      </c>
      <c r="B9" s="9">
        <f t="shared" si="2"/>
        <v>2500</v>
      </c>
      <c r="C9">
        <v>7.19</v>
      </c>
      <c r="D9">
        <v>6.45</v>
      </c>
      <c r="E9">
        <v>4.8499999999999996</v>
      </c>
      <c r="F9">
        <v>3.51</v>
      </c>
      <c r="G9">
        <v>2.23</v>
      </c>
      <c r="H9">
        <v>1.55</v>
      </c>
      <c r="I9">
        <v>0.84199999999999997</v>
      </c>
      <c r="J9">
        <v>0.42709999999999998</v>
      </c>
      <c r="K9">
        <v>0.22800000000000001</v>
      </c>
      <c r="L9">
        <v>0.1174</v>
      </c>
      <c r="N9" s="21">
        <f t="shared" si="0"/>
        <v>9759.0361445783128</v>
      </c>
      <c r="O9">
        <f t="shared" si="1"/>
        <v>0.11299141906337759</v>
      </c>
    </row>
    <row r="10" spans="1:17" x14ac:dyDescent="0.2">
      <c r="A10" s="9">
        <v>5.9999999999999995E-4</v>
      </c>
      <c r="B10" s="9">
        <f t="shared" si="2"/>
        <v>1666.6666666666667</v>
      </c>
      <c r="C10">
        <v>6.8</v>
      </c>
      <c r="D10">
        <v>6.27</v>
      </c>
      <c r="E10">
        <v>4.8499999999999996</v>
      </c>
      <c r="F10">
        <v>3.51</v>
      </c>
      <c r="G10">
        <v>2.23</v>
      </c>
      <c r="H10">
        <v>1.55</v>
      </c>
      <c r="I10">
        <v>0.84199999999999997</v>
      </c>
      <c r="J10">
        <v>0.42709999999999998</v>
      </c>
      <c r="K10">
        <v>0.22800000000000001</v>
      </c>
      <c r="L10">
        <v>0.1174</v>
      </c>
      <c r="N10" s="21">
        <f t="shared" si="0"/>
        <v>6506.0240963855422</v>
      </c>
      <c r="O10">
        <f t="shared" si="1"/>
        <v>0.11299141906337759</v>
      </c>
    </row>
    <row r="11" spans="1:17" x14ac:dyDescent="0.2">
      <c r="A11" s="9">
        <v>1E-3</v>
      </c>
      <c r="B11" s="9">
        <f t="shared" si="2"/>
        <v>1000</v>
      </c>
      <c r="C11">
        <v>6.31</v>
      </c>
      <c r="D11">
        <v>5.97</v>
      </c>
      <c r="E11">
        <v>4.83</v>
      </c>
      <c r="F11">
        <v>3.51</v>
      </c>
      <c r="G11">
        <v>2.23</v>
      </c>
      <c r="H11">
        <v>1.55</v>
      </c>
      <c r="I11">
        <v>0.84199999999999997</v>
      </c>
      <c r="J11">
        <v>0.42709999999999998</v>
      </c>
      <c r="K11">
        <v>0.22800000000000001</v>
      </c>
      <c r="L11">
        <v>0.1174</v>
      </c>
      <c r="N11" s="21">
        <f t="shared" si="0"/>
        <v>3903.6144578313251</v>
      </c>
      <c r="O11">
        <f t="shared" si="1"/>
        <v>0.11299141906337759</v>
      </c>
    </row>
    <row r="12" spans="1:17" x14ac:dyDescent="0.2">
      <c r="A12" s="9">
        <v>2E-3</v>
      </c>
      <c r="B12" s="9">
        <f t="shared" si="2"/>
        <v>500</v>
      </c>
      <c r="D12">
        <v>5.45</v>
      </c>
      <c r="E12">
        <v>4.71</v>
      </c>
      <c r="F12">
        <v>3.5</v>
      </c>
      <c r="G12">
        <v>2.23</v>
      </c>
      <c r="H12">
        <v>1.55</v>
      </c>
      <c r="I12">
        <v>0.84199999999999997</v>
      </c>
      <c r="J12">
        <v>0.42709999999999998</v>
      </c>
      <c r="K12">
        <v>0.22800000000000001</v>
      </c>
      <c r="L12">
        <v>0.1174</v>
      </c>
      <c r="N12" s="21">
        <f t="shared" si="0"/>
        <v>1951.8072289156626</v>
      </c>
      <c r="O12">
        <f t="shared" si="1"/>
        <v>0.11299141906337759</v>
      </c>
    </row>
    <row r="13" spans="1:17" x14ac:dyDescent="0.2">
      <c r="A13" s="9">
        <v>4.0000000000000001E-3</v>
      </c>
      <c r="B13" s="9">
        <f t="shared" si="2"/>
        <v>250</v>
      </c>
      <c r="D13">
        <v>4.8499999999999996</v>
      </c>
      <c r="E13">
        <v>4.42</v>
      </c>
      <c r="F13">
        <v>3.48</v>
      </c>
      <c r="G13">
        <v>2.23</v>
      </c>
      <c r="H13">
        <v>1.55</v>
      </c>
      <c r="I13">
        <v>0.84199999999999997</v>
      </c>
      <c r="J13">
        <v>0.42709999999999998</v>
      </c>
      <c r="K13">
        <v>0.22800000000000001</v>
      </c>
      <c r="L13">
        <v>0.1174</v>
      </c>
      <c r="N13" s="21">
        <f t="shared" si="0"/>
        <v>975.90361445783128</v>
      </c>
      <c r="O13">
        <f t="shared" si="1"/>
        <v>0.11299141906337759</v>
      </c>
    </row>
    <row r="14" spans="1:17" x14ac:dyDescent="0.2">
      <c r="A14" s="9">
        <v>6.0000000000000001E-3</v>
      </c>
      <c r="B14" s="9">
        <f t="shared" si="2"/>
        <v>166.66666666666666</v>
      </c>
      <c r="D14">
        <v>4.4800000000000004</v>
      </c>
      <c r="E14">
        <v>4.18</v>
      </c>
      <c r="F14">
        <v>3.43</v>
      </c>
      <c r="G14">
        <v>2.23</v>
      </c>
      <c r="H14">
        <v>1.55</v>
      </c>
      <c r="I14">
        <v>0.84199999999999997</v>
      </c>
      <c r="J14">
        <v>0.42709999999999998</v>
      </c>
      <c r="K14">
        <v>0.22800000000000001</v>
      </c>
      <c r="L14">
        <v>0.1174</v>
      </c>
      <c r="N14" s="21">
        <f t="shared" si="0"/>
        <v>650.60240963855415</v>
      </c>
      <c r="O14">
        <f t="shared" si="1"/>
        <v>0.11299141906337759</v>
      </c>
    </row>
    <row r="15" spans="1:17" x14ac:dyDescent="0.2">
      <c r="A15" s="9">
        <v>0.01</v>
      </c>
      <c r="B15" s="9">
        <f t="shared" si="2"/>
        <v>100</v>
      </c>
      <c r="D15">
        <v>4</v>
      </c>
      <c r="E15">
        <v>3.81</v>
      </c>
      <c r="F15">
        <v>3.29</v>
      </c>
      <c r="G15">
        <v>2.23</v>
      </c>
      <c r="H15">
        <v>1.55</v>
      </c>
      <c r="I15">
        <v>0.84199999999999997</v>
      </c>
      <c r="J15">
        <v>0.42709999999999998</v>
      </c>
      <c r="K15">
        <v>0.22800000000000001</v>
      </c>
      <c r="L15">
        <v>0.1174</v>
      </c>
      <c r="N15" s="21">
        <f t="shared" si="0"/>
        <v>390.36144578313252</v>
      </c>
      <c r="O15">
        <f t="shared" si="1"/>
        <v>0.11299141906337759</v>
      </c>
    </row>
    <row r="16" spans="1:17" x14ac:dyDescent="0.2">
      <c r="A16" s="9">
        <v>0.02</v>
      </c>
      <c r="B16" s="9">
        <f t="shared" si="2"/>
        <v>50</v>
      </c>
      <c r="D16">
        <v>3.34</v>
      </c>
      <c r="E16">
        <v>3.24</v>
      </c>
      <c r="F16">
        <v>2.95</v>
      </c>
      <c r="G16">
        <v>2.1800000000000002</v>
      </c>
      <c r="H16">
        <v>1.55</v>
      </c>
      <c r="I16">
        <v>0.84199999999999997</v>
      </c>
      <c r="J16">
        <v>0.42709999999999998</v>
      </c>
      <c r="K16">
        <v>0.22800000000000001</v>
      </c>
      <c r="L16">
        <v>0.1174</v>
      </c>
      <c r="N16" s="21">
        <f t="shared" si="0"/>
        <v>195.18072289156626</v>
      </c>
      <c r="O16">
        <f t="shared" si="1"/>
        <v>0.11045797917406419</v>
      </c>
    </row>
    <row r="17" spans="1:15" x14ac:dyDescent="0.2">
      <c r="A17" s="9">
        <v>0.04</v>
      </c>
      <c r="B17" s="9">
        <f t="shared" si="2"/>
        <v>25</v>
      </c>
      <c r="E17">
        <v>2.63</v>
      </c>
      <c r="F17">
        <v>2.48</v>
      </c>
      <c r="G17">
        <v>2.02</v>
      </c>
      <c r="H17">
        <v>1.52</v>
      </c>
      <c r="I17">
        <v>0.84199999999999997</v>
      </c>
      <c r="J17">
        <v>0.42709999999999998</v>
      </c>
      <c r="K17">
        <v>0.22800000000000001</v>
      </c>
      <c r="L17">
        <v>0.1174</v>
      </c>
      <c r="N17" s="21">
        <f t="shared" si="0"/>
        <v>97.590361445783131</v>
      </c>
      <c r="O17">
        <f t="shared" si="1"/>
        <v>0.10235097152826131</v>
      </c>
    </row>
    <row r="18" spans="1:15" x14ac:dyDescent="0.2">
      <c r="A18" s="9">
        <v>0.06</v>
      </c>
      <c r="B18" s="9">
        <f t="shared" si="2"/>
        <v>16.666666666666668</v>
      </c>
      <c r="E18">
        <v>2.2599999999999998</v>
      </c>
      <c r="F18">
        <v>2.17</v>
      </c>
      <c r="G18">
        <v>1.85</v>
      </c>
      <c r="H18">
        <v>1.46</v>
      </c>
      <c r="I18">
        <v>0.83899999999999997</v>
      </c>
      <c r="J18">
        <v>0.42709999999999998</v>
      </c>
      <c r="K18">
        <v>0.22800000000000001</v>
      </c>
      <c r="L18">
        <v>0.1174</v>
      </c>
      <c r="N18" s="21">
        <f t="shared" si="0"/>
        <v>65.060240963855421</v>
      </c>
      <c r="O18">
        <f t="shared" si="1"/>
        <v>9.3737275904595754E-2</v>
      </c>
    </row>
    <row r="19" spans="1:15" x14ac:dyDescent="0.2">
      <c r="A19" s="9">
        <v>0.1</v>
      </c>
      <c r="B19" s="9">
        <f t="shared" si="2"/>
        <v>10</v>
      </c>
      <c r="E19">
        <v>1.8</v>
      </c>
      <c r="F19">
        <v>1.75</v>
      </c>
      <c r="G19">
        <v>1.56</v>
      </c>
      <c r="H19">
        <v>1.31</v>
      </c>
      <c r="I19">
        <v>0.81899999999999995</v>
      </c>
      <c r="J19">
        <v>0.42709999999999998</v>
      </c>
      <c r="K19">
        <v>0.22800000000000001</v>
      </c>
      <c r="L19">
        <v>0.1174</v>
      </c>
      <c r="N19" s="21">
        <f t="shared" si="0"/>
        <v>39.036144578313248</v>
      </c>
      <c r="O19">
        <f t="shared" si="1"/>
        <v>7.9043324546578045E-2</v>
      </c>
    </row>
    <row r="20" spans="1:15" x14ac:dyDescent="0.2">
      <c r="A20" s="9">
        <v>0.2</v>
      </c>
      <c r="B20" s="9">
        <f t="shared" si="2"/>
        <v>5</v>
      </c>
      <c r="F20">
        <v>1.19</v>
      </c>
      <c r="G20">
        <v>1.1100000000000001</v>
      </c>
      <c r="H20">
        <v>0.996</v>
      </c>
      <c r="I20">
        <v>0.71499999999999997</v>
      </c>
      <c r="J20">
        <v>0.41</v>
      </c>
      <c r="K20">
        <v>0.22700000000000001</v>
      </c>
      <c r="L20">
        <v>0.1174</v>
      </c>
      <c r="N20" s="21">
        <f t="shared" si="0"/>
        <v>19.518072289156624</v>
      </c>
      <c r="O20">
        <f t="shared" si="1"/>
        <v>5.624236554275746E-2</v>
      </c>
    </row>
    <row r="21" spans="1:15" x14ac:dyDescent="0.2">
      <c r="A21" s="9">
        <v>0.4</v>
      </c>
      <c r="B21" s="9">
        <f t="shared" si="2"/>
        <v>2.5</v>
      </c>
      <c r="F21">
        <v>0.69299999999999995</v>
      </c>
      <c r="G21">
        <v>0.66500000000000004</v>
      </c>
      <c r="H21">
        <v>0.621</v>
      </c>
      <c r="I21">
        <v>0.502</v>
      </c>
      <c r="J21">
        <v>0.34</v>
      </c>
      <c r="K21">
        <v>0.21</v>
      </c>
      <c r="L21">
        <v>0.1174</v>
      </c>
      <c r="N21" s="21">
        <f t="shared" si="0"/>
        <v>9.759036144578312</v>
      </c>
      <c r="O21">
        <f t="shared" si="1"/>
        <v>3.3694750527868203E-2</v>
      </c>
    </row>
    <row r="22" spans="1:15" x14ac:dyDescent="0.2">
      <c r="A22" s="9">
        <v>0.6</v>
      </c>
      <c r="B22" s="9">
        <f t="shared" si="2"/>
        <v>1.6666666666666667</v>
      </c>
      <c r="F22">
        <v>0.45</v>
      </c>
      <c r="G22">
        <v>0.436</v>
      </c>
      <c r="H22">
        <v>0.41499999999999998</v>
      </c>
      <c r="I22">
        <v>0.35399999999999998</v>
      </c>
      <c r="J22">
        <v>0.255</v>
      </c>
      <c r="K22">
        <v>0.17699999999999999</v>
      </c>
      <c r="L22">
        <v>0.11</v>
      </c>
      <c r="N22" s="21">
        <f t="shared" si="0"/>
        <v>6.5060240963855422</v>
      </c>
      <c r="O22">
        <f t="shared" si="1"/>
        <v>2.2091595834812839E-2</v>
      </c>
    </row>
    <row r="23" spans="1:15" x14ac:dyDescent="0.2">
      <c r="A23">
        <v>1</v>
      </c>
      <c r="B23" s="9">
        <f t="shared" si="2"/>
        <v>1</v>
      </c>
      <c r="G23">
        <v>0.21299999999999999</v>
      </c>
      <c r="H23">
        <v>0.20599999999999999</v>
      </c>
      <c r="I23">
        <v>0.185</v>
      </c>
      <c r="J23">
        <v>0.15090000000000001</v>
      </c>
      <c r="K23">
        <v>0.114</v>
      </c>
      <c r="L23">
        <v>8.0299999999999996E-2</v>
      </c>
      <c r="N23" s="21">
        <f t="shared" si="0"/>
        <v>3.903614457831325</v>
      </c>
      <c r="O23">
        <f t="shared" si="1"/>
        <v>1.0792453928475079E-2</v>
      </c>
    </row>
    <row r="24" spans="1:15" x14ac:dyDescent="0.2">
      <c r="A24">
        <v>2</v>
      </c>
      <c r="B24" s="9">
        <f t="shared" si="2"/>
        <v>0.5</v>
      </c>
      <c r="H24">
        <v>4.7E-2</v>
      </c>
      <c r="I24">
        <v>4.3999999999999997E-2</v>
      </c>
      <c r="K24">
        <v>3.4000000000000002E-2</v>
      </c>
      <c r="L24">
        <v>2.5000000000000001E-2</v>
      </c>
      <c r="N24" s="21">
        <f t="shared" si="0"/>
        <v>1.9518072289156625</v>
      </c>
      <c r="O24" t="str">
        <f t="shared" si="1"/>
        <v/>
      </c>
    </row>
    <row r="28" spans="1:15" x14ac:dyDescent="0.2">
      <c r="N28" s="19" t="s">
        <v>21</v>
      </c>
      <c r="O28" s="10" t="s">
        <v>22</v>
      </c>
    </row>
    <row r="29" spans="1:15" x14ac:dyDescent="0.2">
      <c r="N29" s="20">
        <f>HantushJacob!$B$11^2 * HantushJacob!$D$11 / (4*HantushJacob!$C$11)</f>
        <v>3.903614457831325</v>
      </c>
      <c r="O29">
        <f>HantushJacob!$A$11 /(4 * PI() *HantushJacob!$C$11)</f>
        <v>5.0668797786267976E-2</v>
      </c>
    </row>
    <row r="32" spans="1:15" x14ac:dyDescent="0.2">
      <c r="B32" s="26"/>
    </row>
  </sheetData>
  <sheetProtection password="EF51" sheet="1" objects="1" scenarios="1"/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P21" sqref="P21"/>
    </sheetView>
  </sheetViews>
  <sheetFormatPr defaultRowHeight="12.75" x14ac:dyDescent="0.2"/>
  <cols>
    <col min="13" max="13" width="9.85546875" customWidth="1"/>
    <col min="16" max="16" width="10.85546875" style="20" customWidth="1"/>
    <col min="17" max="17" width="17.140625" customWidth="1"/>
  </cols>
  <sheetData>
    <row r="1" spans="1:19" s="10" customFormat="1" x14ac:dyDescent="0.2">
      <c r="A1" s="10" t="s">
        <v>33</v>
      </c>
      <c r="C1" s="32" t="s">
        <v>39</v>
      </c>
      <c r="M1" s="19"/>
      <c r="P1" s="19"/>
    </row>
    <row r="2" spans="1:19" s="10" customFormat="1" x14ac:dyDescent="0.2">
      <c r="A2" s="10" t="s">
        <v>0</v>
      </c>
      <c r="B2" s="10" t="s">
        <v>1</v>
      </c>
      <c r="C2" s="10">
        <v>5.0000000000000001E-3</v>
      </c>
      <c r="D2" s="10">
        <v>0.05</v>
      </c>
      <c r="E2" s="10">
        <v>0.2</v>
      </c>
      <c r="F2" s="10">
        <v>0.5</v>
      </c>
      <c r="G2" s="10">
        <v>1</v>
      </c>
      <c r="H2" s="10">
        <v>2</v>
      </c>
      <c r="I2" s="10">
        <v>5</v>
      </c>
      <c r="J2" s="10">
        <v>10</v>
      </c>
      <c r="K2" s="10">
        <v>20</v>
      </c>
      <c r="L2" s="10">
        <v>50</v>
      </c>
      <c r="M2" s="31">
        <v>100</v>
      </c>
      <c r="N2" s="10">
        <v>200</v>
      </c>
      <c r="P2" s="19" t="s">
        <v>19</v>
      </c>
      <c r="Q2" s="10" t="s">
        <v>20</v>
      </c>
      <c r="S2" s="10" t="s">
        <v>32</v>
      </c>
    </row>
    <row r="3" spans="1:19" s="10" customFormat="1" x14ac:dyDescent="0.2">
      <c r="A3" s="15">
        <v>9.9999999999999995E-7</v>
      </c>
      <c r="B3" s="9">
        <f>1/A3</f>
        <v>1000000</v>
      </c>
      <c r="C3">
        <v>10.590999999999999</v>
      </c>
      <c r="D3">
        <v>8.3390000000000004</v>
      </c>
      <c r="E3">
        <v>6.9589999999999996</v>
      </c>
      <c r="F3">
        <v>6.0460000000000003</v>
      </c>
      <c r="G3">
        <v>5.3574999999999999</v>
      </c>
      <c r="H3">
        <v>4.6719999999999997</v>
      </c>
      <c r="I3">
        <v>3.7759999999999998</v>
      </c>
      <c r="J3" s="11">
        <v>3.1110000000000002</v>
      </c>
      <c r="K3" s="11">
        <v>2.4670000000000001</v>
      </c>
      <c r="L3" s="11">
        <v>1.671</v>
      </c>
      <c r="M3" s="21">
        <v>1.1359999999999999</v>
      </c>
      <c r="N3">
        <v>0.68789999999999996</v>
      </c>
      <c r="P3" s="21">
        <f t="shared" ref="P3:P17" si="0">B3*$P$21</f>
        <v>46875</v>
      </c>
      <c r="Q3">
        <f>IF(INDEX($A$1:$N$18,ROW(),$S$3)="","",$Q$21* INDEX($A$1:$N$18,ROW(),$S$3))</f>
        <v>6.5493812434559498E-2</v>
      </c>
      <c r="S3" s="11">
        <f>MATCH(Hantush!$E$13,$A$2:$N$2,0)</f>
        <v>8</v>
      </c>
    </row>
    <row r="4" spans="1:19" s="10" customFormat="1" x14ac:dyDescent="0.2">
      <c r="A4" s="15">
        <f>0.000005</f>
        <v>5.0000000000000004E-6</v>
      </c>
      <c r="B4" s="9">
        <f>1/A4</f>
        <v>199999.99999999997</v>
      </c>
      <c r="C4">
        <v>9.7170000000000005</v>
      </c>
      <c r="D4">
        <v>7.5279999999999996</v>
      </c>
      <c r="E4">
        <v>6.1550000000000002</v>
      </c>
      <c r="F4">
        <v>5.2460000000000004</v>
      </c>
      <c r="G4">
        <v>4.5617000000000001</v>
      </c>
      <c r="H4">
        <v>3.8839999999999999</v>
      </c>
      <c r="I4">
        <v>3.0059999999999998</v>
      </c>
      <c r="J4" s="11">
        <v>2.3660000000000001</v>
      </c>
      <c r="K4" s="11">
        <v>1.7629999999999999</v>
      </c>
      <c r="L4" s="11">
        <v>1.0569999999999999</v>
      </c>
      <c r="M4" s="21">
        <v>0.62560000000000004</v>
      </c>
      <c r="N4">
        <v>0.30909999999999999</v>
      </c>
      <c r="P4" s="21">
        <f t="shared" si="0"/>
        <v>9374.9999999999982</v>
      </c>
      <c r="Q4">
        <f t="shared" ref="Q4:Q18" si="1">IF(INDEX($A$1:$N$18,ROW(),$S$3)="","",$Q$21* INDEX($A$1:$N$18,ROW(),$S$3))</f>
        <v>5.4447338933182599E-2</v>
      </c>
    </row>
    <row r="5" spans="1:19" s="10" customFormat="1" x14ac:dyDescent="0.2">
      <c r="A5" s="15">
        <f>A3*10</f>
        <v>9.9999999999999991E-6</v>
      </c>
      <c r="B5" s="9">
        <f>1/A5</f>
        <v>100000.00000000001</v>
      </c>
      <c r="C5">
        <v>9.32</v>
      </c>
      <c r="D5">
        <v>7.1769999999999996</v>
      </c>
      <c r="E5">
        <v>5.8079999999999998</v>
      </c>
      <c r="F5">
        <v>4.9020000000000001</v>
      </c>
      <c r="G5">
        <v>4.2210000000000001</v>
      </c>
      <c r="H5">
        <v>3.548</v>
      </c>
      <c r="I5">
        <v>2.6819999999999999</v>
      </c>
      <c r="J5" s="11">
        <v>2.0590000000000002</v>
      </c>
      <c r="K5" s="11">
        <v>1.482</v>
      </c>
      <c r="L5" s="11">
        <v>0.82850000000000001</v>
      </c>
      <c r="M5" s="21">
        <v>0.45190000000000002</v>
      </c>
      <c r="N5">
        <v>0.1978</v>
      </c>
      <c r="P5" s="21">
        <f t="shared" si="0"/>
        <v>4687.5000000000009</v>
      </c>
      <c r="Q5">
        <f t="shared" si="1"/>
        <v>4.9737167490971131E-2</v>
      </c>
    </row>
    <row r="6" spans="1:19" s="10" customFormat="1" x14ac:dyDescent="0.2">
      <c r="A6" s="15">
        <f>A4*10</f>
        <v>5.0000000000000002E-5</v>
      </c>
      <c r="B6" s="9">
        <f>1/A6</f>
        <v>20000</v>
      </c>
      <c r="C6">
        <v>8.3170000000000002</v>
      </c>
      <c r="D6">
        <v>6.3520000000000003</v>
      </c>
      <c r="E6">
        <v>5.0049999999999999</v>
      </c>
      <c r="F6">
        <v>4.109</v>
      </c>
      <c r="G6">
        <v>3.4390000000000001</v>
      </c>
      <c r="H6">
        <v>2.7850000000000001</v>
      </c>
      <c r="I6">
        <v>1.962</v>
      </c>
      <c r="J6" s="11">
        <v>1.3939999999999999</v>
      </c>
      <c r="K6" s="11">
        <v>0.89939999999999998</v>
      </c>
      <c r="L6" s="11">
        <v>0.40239999999999998</v>
      </c>
      <c r="M6" s="21">
        <v>0.16850000000000001</v>
      </c>
      <c r="N6" s="9">
        <v>4.9399999999999999E-2</v>
      </c>
      <c r="P6" s="21">
        <f t="shared" si="0"/>
        <v>937.5</v>
      </c>
      <c r="Q6">
        <f t="shared" si="1"/>
        <v>3.9041153174282583E-2</v>
      </c>
    </row>
    <row r="7" spans="1:19" x14ac:dyDescent="0.2">
      <c r="A7" s="15">
        <f t="shared" ref="A7:A15" si="2">A5*10</f>
        <v>9.9999999999999991E-5</v>
      </c>
      <c r="B7" s="9">
        <f t="shared" ref="B7:B18" si="3">1/A7</f>
        <v>10000</v>
      </c>
      <c r="C7">
        <v>7.8390000000000004</v>
      </c>
      <c r="D7">
        <v>5.9909999999999997</v>
      </c>
      <c r="E7">
        <v>4.6580000000000004</v>
      </c>
      <c r="F7">
        <v>3.77</v>
      </c>
      <c r="G7">
        <v>3.1080000000000001</v>
      </c>
      <c r="H7">
        <v>2.4660000000000002</v>
      </c>
      <c r="I7">
        <v>1.67</v>
      </c>
      <c r="J7" s="11">
        <v>1.1359999999999999</v>
      </c>
      <c r="K7" s="11">
        <v>0.68779999999999997</v>
      </c>
      <c r="L7" s="11">
        <v>0.26979999999999998</v>
      </c>
      <c r="M7" s="21">
        <v>9.6299999999999997E-2</v>
      </c>
      <c r="N7" s="9">
        <v>2.2200000000000001E-2</v>
      </c>
      <c r="P7" s="21">
        <f t="shared" si="0"/>
        <v>468.75</v>
      </c>
      <c r="Q7">
        <f t="shared" si="1"/>
        <v>3.4569293977659191E-2</v>
      </c>
    </row>
    <row r="8" spans="1:19" x14ac:dyDescent="0.2">
      <c r="A8" s="15">
        <f t="shared" si="2"/>
        <v>5.0000000000000001E-4</v>
      </c>
      <c r="B8" s="9">
        <f t="shared" si="3"/>
        <v>2000</v>
      </c>
      <c r="C8">
        <v>6.6020000000000003</v>
      </c>
      <c r="D8">
        <v>5.1219999999999999</v>
      </c>
      <c r="E8">
        <v>3.8530000000000002</v>
      </c>
      <c r="F8">
        <v>2.9929999999999999</v>
      </c>
      <c r="G8">
        <v>2.36</v>
      </c>
      <c r="H8">
        <v>1.76</v>
      </c>
      <c r="I8">
        <v>1.056</v>
      </c>
      <c r="J8" s="11">
        <v>0.62519999999999998</v>
      </c>
      <c r="K8" s="11">
        <v>0.30890000000000001</v>
      </c>
      <c r="L8" s="9">
        <v>7.8700000000000006E-2</v>
      </c>
      <c r="M8" s="21">
        <v>1.66E-2</v>
      </c>
      <c r="N8" s="9">
        <v>1.6900000000000001E-3</v>
      </c>
      <c r="P8" s="21">
        <f t="shared" si="0"/>
        <v>93.75</v>
      </c>
      <c r="Q8">
        <f t="shared" si="1"/>
        <v>2.4672326602060087E-2</v>
      </c>
    </row>
    <row r="9" spans="1:19" x14ac:dyDescent="0.2">
      <c r="A9" s="15">
        <f t="shared" si="2"/>
        <v>1E-3</v>
      </c>
      <c r="B9" s="9">
        <f t="shared" si="3"/>
        <v>1000</v>
      </c>
      <c r="C9">
        <v>6.0190000000000001</v>
      </c>
      <c r="D9">
        <v>4.7290000000000001</v>
      </c>
      <c r="E9">
        <v>3.5049999999999999</v>
      </c>
      <c r="F9">
        <v>2.665</v>
      </c>
      <c r="G9">
        <v>2.0510000000000002</v>
      </c>
      <c r="H9">
        <v>1.478</v>
      </c>
      <c r="I9">
        <v>0.82709999999999995</v>
      </c>
      <c r="J9" s="11">
        <v>0.45129999999999998</v>
      </c>
      <c r="K9" s="11">
        <v>0.1976</v>
      </c>
      <c r="L9" s="9">
        <v>3.8800000000000001E-2</v>
      </c>
      <c r="M9" s="21">
        <v>5.8999999999999999E-3</v>
      </c>
      <c r="N9" s="9">
        <v>3.6099999999999999E-4</v>
      </c>
      <c r="P9" s="21">
        <f t="shared" si="0"/>
        <v>46.875</v>
      </c>
      <c r="Q9">
        <f t="shared" si="1"/>
        <v>2.0719146998775459E-2</v>
      </c>
    </row>
    <row r="10" spans="1:19" x14ac:dyDescent="0.2">
      <c r="A10" s="15">
        <f t="shared" si="2"/>
        <v>5.0000000000000001E-3</v>
      </c>
      <c r="B10" s="9">
        <f t="shared" si="3"/>
        <v>200</v>
      </c>
      <c r="C10">
        <v>4.5789999999999997</v>
      </c>
      <c r="D10">
        <v>3.742</v>
      </c>
      <c r="E10">
        <v>2.6890000000000001</v>
      </c>
      <c r="F10">
        <v>1.925</v>
      </c>
      <c r="G10">
        <v>1.377</v>
      </c>
      <c r="H10">
        <v>0.89149999999999996</v>
      </c>
      <c r="I10">
        <v>0.40010000000000001</v>
      </c>
      <c r="J10" s="11">
        <v>0.16769999999999999</v>
      </c>
      <c r="K10" s="11">
        <v>4.9299999999999997E-2</v>
      </c>
      <c r="L10" s="9">
        <v>4.0299999999999997E-3</v>
      </c>
      <c r="M10" s="21">
        <v>2.05E-4</v>
      </c>
      <c r="N10" s="9">
        <v>2.2800000000000002E-6</v>
      </c>
      <c r="P10" s="21">
        <f t="shared" si="0"/>
        <v>9.375</v>
      </c>
      <c r="Q10">
        <f t="shared" si="1"/>
        <v>1.2497374525986685E-2</v>
      </c>
    </row>
    <row r="11" spans="1:19" x14ac:dyDescent="0.2">
      <c r="A11" s="15">
        <f t="shared" si="2"/>
        <v>0.01</v>
      </c>
      <c r="B11" s="9">
        <f t="shared" si="3"/>
        <v>100</v>
      </c>
      <c r="C11">
        <v>3.9329999999999998</v>
      </c>
      <c r="D11">
        <v>3.2749999999999999</v>
      </c>
      <c r="E11">
        <v>2.3330000000000002</v>
      </c>
      <c r="F11">
        <v>1.619</v>
      </c>
      <c r="G11">
        <v>1.1120000000000001</v>
      </c>
      <c r="H11">
        <v>0.67749999999999999</v>
      </c>
      <c r="I11">
        <v>0.26700000000000002</v>
      </c>
      <c r="J11" s="11">
        <v>9.5500000000000002E-2</v>
      </c>
      <c r="K11" s="11">
        <v>2.2100000000000002E-2</v>
      </c>
      <c r="L11" s="9">
        <v>1.06E-3</v>
      </c>
      <c r="M11" s="21">
        <v>2.7399999999999999E-5</v>
      </c>
      <c r="P11" s="21">
        <f t="shared" si="0"/>
        <v>4.6875</v>
      </c>
      <c r="Q11">
        <f t="shared" si="1"/>
        <v>9.4974439050543799E-3</v>
      </c>
    </row>
    <row r="12" spans="1:19" x14ac:dyDescent="0.2">
      <c r="A12" s="15">
        <f t="shared" si="2"/>
        <v>0.05</v>
      </c>
      <c r="B12" s="9">
        <f t="shared" si="3"/>
        <v>20</v>
      </c>
      <c r="C12">
        <v>2.4239999999999999</v>
      </c>
      <c r="D12">
        <v>2.101</v>
      </c>
      <c r="E12">
        <v>1.4870000000000001</v>
      </c>
      <c r="F12">
        <v>0.95399999999999996</v>
      </c>
      <c r="G12">
        <v>0.58120000000000005</v>
      </c>
      <c r="H12">
        <v>0.2923</v>
      </c>
      <c r="I12">
        <v>7.5499999999999998E-2</v>
      </c>
      <c r="J12" s="11">
        <v>1.6E-2</v>
      </c>
      <c r="K12" s="11">
        <v>1.64E-3</v>
      </c>
      <c r="L12" s="9">
        <v>1.26E-5</v>
      </c>
      <c r="M12" s="21"/>
      <c r="P12" s="21">
        <f t="shared" si="0"/>
        <v>0.9375</v>
      </c>
      <c r="Q12">
        <f t="shared" si="1"/>
        <v>4.0975687873762295E-3</v>
      </c>
    </row>
    <row r="13" spans="1:19" x14ac:dyDescent="0.2">
      <c r="A13" s="15">
        <f t="shared" si="2"/>
        <v>0.1</v>
      </c>
      <c r="B13" s="9">
        <f t="shared" si="3"/>
        <v>10</v>
      </c>
      <c r="C13">
        <v>1.7949999999999999</v>
      </c>
      <c r="D13">
        <v>1.577</v>
      </c>
      <c r="E13">
        <v>1.121</v>
      </c>
      <c r="F13">
        <v>0.69469999999999998</v>
      </c>
      <c r="G13">
        <v>0.379</v>
      </c>
      <c r="H13">
        <v>0.1789</v>
      </c>
      <c r="I13">
        <v>3.5900000000000001E-2</v>
      </c>
      <c r="J13" s="11">
        <v>5.5199999999999997E-3</v>
      </c>
      <c r="K13" s="11">
        <v>3.4000000000000002E-4</v>
      </c>
      <c r="M13" s="21"/>
      <c r="P13" s="21">
        <f t="shared" si="0"/>
        <v>0.46875</v>
      </c>
      <c r="Q13">
        <f t="shared" si="1"/>
        <v>2.507885925629858E-3</v>
      </c>
    </row>
    <row r="14" spans="1:19" x14ac:dyDescent="0.2">
      <c r="A14" s="15">
        <f t="shared" si="2"/>
        <v>0.5</v>
      </c>
      <c r="B14" s="9">
        <f t="shared" si="3"/>
        <v>2</v>
      </c>
      <c r="C14">
        <v>0.55300000000000005</v>
      </c>
      <c r="D14">
        <v>0.49690000000000001</v>
      </c>
      <c r="E14">
        <v>0.35909999999999997</v>
      </c>
      <c r="F14">
        <v>0.20830000000000001</v>
      </c>
      <c r="G14">
        <v>0.10059999999999999</v>
      </c>
      <c r="H14">
        <v>3.2500000000000001E-2</v>
      </c>
      <c r="I14">
        <v>2.8800000000000002E-3</v>
      </c>
      <c r="J14" s="11">
        <v>1.4999999999999999E-4</v>
      </c>
      <c r="K14" s="15">
        <v>1.7099999999999999E-6</v>
      </c>
      <c r="M14" s="21"/>
      <c r="P14" s="21">
        <f t="shared" si="0"/>
        <v>9.375E-2</v>
      </c>
      <c r="Q14">
        <f t="shared" si="1"/>
        <v>4.555969400948596E-4</v>
      </c>
    </row>
    <row r="15" spans="1:19" x14ac:dyDescent="0.2">
      <c r="A15" s="15">
        <f t="shared" si="2"/>
        <v>1</v>
      </c>
      <c r="B15" s="9">
        <f t="shared" si="3"/>
        <v>1</v>
      </c>
      <c r="C15">
        <v>0.21690000000000001</v>
      </c>
      <c r="D15">
        <v>0.1961</v>
      </c>
      <c r="E15">
        <v>0.14269999999999999</v>
      </c>
      <c r="F15">
        <v>8.1199999999999994E-2</v>
      </c>
      <c r="G15">
        <v>3.6499999999999998E-2</v>
      </c>
      <c r="H15">
        <v>9.2999999999999992E-3</v>
      </c>
      <c r="I15" s="9">
        <v>5.4699999999999996E-4</v>
      </c>
      <c r="J15" s="15">
        <v>1.5099999999999999E-5</v>
      </c>
      <c r="K15" s="11"/>
      <c r="M15" s="21"/>
      <c r="P15" s="21">
        <f t="shared" si="0"/>
        <v>4.6875E-2</v>
      </c>
      <c r="Q15">
        <f t="shared" si="1"/>
        <v>1.3037081670406751E-4</v>
      </c>
    </row>
    <row r="16" spans="1:19" x14ac:dyDescent="0.2">
      <c r="A16" s="15">
        <v>2</v>
      </c>
      <c r="B16" s="9">
        <f t="shared" si="3"/>
        <v>0.5</v>
      </c>
      <c r="C16">
        <v>4.8399999999999999E-2</v>
      </c>
      <c r="D16">
        <v>4.3900000000000002E-2</v>
      </c>
      <c r="E16">
        <v>3.2199999999999999E-2</v>
      </c>
      <c r="F16">
        <v>1.7999999999999999E-2</v>
      </c>
      <c r="G16">
        <v>7.6E-3</v>
      </c>
      <c r="H16">
        <v>1.73E-3</v>
      </c>
      <c r="I16" s="9">
        <v>5.5099999999999998E-5</v>
      </c>
      <c r="J16" s="11"/>
      <c r="K16" s="11"/>
      <c r="M16" s="21"/>
      <c r="P16" s="21">
        <f t="shared" si="0"/>
        <v>2.34375E-2</v>
      </c>
      <c r="Q16">
        <f t="shared" si="1"/>
        <v>2.4251775580434062E-5</v>
      </c>
    </row>
    <row r="17" spans="1:17" x14ac:dyDescent="0.2">
      <c r="A17" s="15">
        <f>A14*10</f>
        <v>5</v>
      </c>
      <c r="B17" s="9">
        <f t="shared" si="3"/>
        <v>0.2</v>
      </c>
      <c r="C17">
        <v>1.14E-3</v>
      </c>
      <c r="D17">
        <v>1.0399999999999999E-3</v>
      </c>
      <c r="E17">
        <v>7.6000000000000004E-4</v>
      </c>
      <c r="F17">
        <v>4.2000000000000002E-4</v>
      </c>
      <c r="G17">
        <v>1.7000000000000001E-4</v>
      </c>
      <c r="H17">
        <v>3.0000000000000001E-5</v>
      </c>
      <c r="J17" s="11"/>
      <c r="K17" s="11"/>
      <c r="M17" s="21"/>
      <c r="P17" s="21">
        <f t="shared" si="0"/>
        <v>9.3750000000000014E-3</v>
      </c>
      <c r="Q17">
        <f t="shared" si="1"/>
        <v>4.2055102162602425E-7</v>
      </c>
    </row>
    <row r="18" spans="1:17" x14ac:dyDescent="0.2">
      <c r="A18" s="15">
        <v>8</v>
      </c>
      <c r="B18" s="9">
        <f t="shared" si="3"/>
        <v>0.125</v>
      </c>
      <c r="C18" s="9">
        <v>3.7299999999999999E-5</v>
      </c>
      <c r="D18" s="9">
        <v>3.4E-5</v>
      </c>
      <c r="E18" s="9">
        <v>2.51E-5</v>
      </c>
      <c r="F18" s="9">
        <v>1.3900000000000001E-5</v>
      </c>
      <c r="G18" s="9">
        <v>5.3600000000000004E-6</v>
      </c>
      <c r="M18" s="21"/>
      <c r="P18" s="21">
        <f t="shared" ref="P18" si="4">B18*$P$21</f>
        <v>5.859375E-3</v>
      </c>
      <c r="Q18" t="str">
        <f t="shared" si="1"/>
        <v/>
      </c>
    </row>
    <row r="19" spans="1:17" x14ac:dyDescent="0.2">
      <c r="A19" s="15"/>
      <c r="B19" s="9"/>
      <c r="P19" s="21"/>
    </row>
    <row r="20" spans="1:17" x14ac:dyDescent="0.2">
      <c r="A20" s="15"/>
      <c r="B20" s="9"/>
      <c r="P20" s="19" t="s">
        <v>21</v>
      </c>
      <c r="Q20" s="10" t="s">
        <v>22</v>
      </c>
    </row>
    <row r="21" spans="1:17" x14ac:dyDescent="0.2">
      <c r="A21" s="15"/>
      <c r="B21" s="9"/>
      <c r="P21" s="20">
        <f>Hantush!$B$13^2 * Hantush!$D$13 / (4*Hantush!$C$13)</f>
        <v>4.6875E-2</v>
      </c>
      <c r="Q21">
        <f>Hantush!$A$13 /(4 * PI() *Hantush!$C$13)</f>
        <v>1.4018367387534141E-2</v>
      </c>
    </row>
    <row r="22" spans="1:17" x14ac:dyDescent="0.2">
      <c r="A22" s="15"/>
      <c r="B22" s="9"/>
      <c r="P22" s="21"/>
    </row>
    <row r="23" spans="1:17" x14ac:dyDescent="0.2">
      <c r="A23" s="15"/>
      <c r="B23" s="9"/>
      <c r="P23" s="21"/>
    </row>
    <row r="24" spans="1:17" x14ac:dyDescent="0.2">
      <c r="B24" s="9"/>
      <c r="P24" s="21"/>
    </row>
    <row r="25" spans="1:17" x14ac:dyDescent="0.2">
      <c r="B25" s="9"/>
      <c r="P25" s="21"/>
    </row>
    <row r="33" spans="2:16" x14ac:dyDescent="0.2">
      <c r="B33" s="26"/>
      <c r="P33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18" workbookViewId="0">
      <selection activeCell="Q48" sqref="Q48"/>
    </sheetView>
  </sheetViews>
  <sheetFormatPr defaultRowHeight="12.75" x14ac:dyDescent="0.2"/>
  <cols>
    <col min="12" max="12" width="10.42578125" customWidth="1"/>
    <col min="13" max="13" width="11" style="20" customWidth="1"/>
    <col min="14" max="14" width="17.140625" style="20" customWidth="1"/>
    <col min="268" max="269" width="10.42578125" customWidth="1"/>
    <col min="524" max="525" width="10.42578125" customWidth="1"/>
    <col min="780" max="781" width="10.42578125" customWidth="1"/>
    <col min="1036" max="1037" width="10.42578125" customWidth="1"/>
    <col min="1292" max="1293" width="10.42578125" customWidth="1"/>
    <col min="1548" max="1549" width="10.42578125" customWidth="1"/>
    <col min="1804" max="1805" width="10.42578125" customWidth="1"/>
    <col min="2060" max="2061" width="10.42578125" customWidth="1"/>
    <col min="2316" max="2317" width="10.42578125" customWidth="1"/>
    <col min="2572" max="2573" width="10.42578125" customWidth="1"/>
    <col min="2828" max="2829" width="10.42578125" customWidth="1"/>
    <col min="3084" max="3085" width="10.42578125" customWidth="1"/>
    <col min="3340" max="3341" width="10.42578125" customWidth="1"/>
    <col min="3596" max="3597" width="10.42578125" customWidth="1"/>
    <col min="3852" max="3853" width="10.42578125" customWidth="1"/>
    <col min="4108" max="4109" width="10.42578125" customWidth="1"/>
    <col min="4364" max="4365" width="10.42578125" customWidth="1"/>
    <col min="4620" max="4621" width="10.42578125" customWidth="1"/>
    <col min="4876" max="4877" width="10.42578125" customWidth="1"/>
    <col min="5132" max="5133" width="10.42578125" customWidth="1"/>
    <col min="5388" max="5389" width="10.42578125" customWidth="1"/>
    <col min="5644" max="5645" width="10.42578125" customWidth="1"/>
    <col min="5900" max="5901" width="10.42578125" customWidth="1"/>
    <col min="6156" max="6157" width="10.42578125" customWidth="1"/>
    <col min="6412" max="6413" width="10.42578125" customWidth="1"/>
    <col min="6668" max="6669" width="10.42578125" customWidth="1"/>
    <col min="6924" max="6925" width="10.42578125" customWidth="1"/>
    <col min="7180" max="7181" width="10.42578125" customWidth="1"/>
    <col min="7436" max="7437" width="10.42578125" customWidth="1"/>
    <col min="7692" max="7693" width="10.42578125" customWidth="1"/>
    <col min="7948" max="7949" width="10.42578125" customWidth="1"/>
    <col min="8204" max="8205" width="10.42578125" customWidth="1"/>
    <col min="8460" max="8461" width="10.42578125" customWidth="1"/>
    <col min="8716" max="8717" width="10.42578125" customWidth="1"/>
    <col min="8972" max="8973" width="10.42578125" customWidth="1"/>
    <col min="9228" max="9229" width="10.42578125" customWidth="1"/>
    <col min="9484" max="9485" width="10.42578125" customWidth="1"/>
    <col min="9740" max="9741" width="10.42578125" customWidth="1"/>
    <col min="9996" max="9997" width="10.42578125" customWidth="1"/>
    <col min="10252" max="10253" width="10.42578125" customWidth="1"/>
    <col min="10508" max="10509" width="10.42578125" customWidth="1"/>
    <col min="10764" max="10765" width="10.42578125" customWidth="1"/>
    <col min="11020" max="11021" width="10.42578125" customWidth="1"/>
    <col min="11276" max="11277" width="10.42578125" customWidth="1"/>
    <col min="11532" max="11533" width="10.42578125" customWidth="1"/>
    <col min="11788" max="11789" width="10.42578125" customWidth="1"/>
    <col min="12044" max="12045" width="10.42578125" customWidth="1"/>
    <col min="12300" max="12301" width="10.42578125" customWidth="1"/>
    <col min="12556" max="12557" width="10.42578125" customWidth="1"/>
    <col min="12812" max="12813" width="10.42578125" customWidth="1"/>
    <col min="13068" max="13069" width="10.42578125" customWidth="1"/>
    <col min="13324" max="13325" width="10.42578125" customWidth="1"/>
    <col min="13580" max="13581" width="10.42578125" customWidth="1"/>
    <col min="13836" max="13837" width="10.42578125" customWidth="1"/>
    <col min="14092" max="14093" width="10.42578125" customWidth="1"/>
    <col min="14348" max="14349" width="10.42578125" customWidth="1"/>
    <col min="14604" max="14605" width="10.42578125" customWidth="1"/>
    <col min="14860" max="14861" width="10.42578125" customWidth="1"/>
    <col min="15116" max="15117" width="10.42578125" customWidth="1"/>
    <col min="15372" max="15373" width="10.42578125" customWidth="1"/>
    <col min="15628" max="15629" width="10.42578125" customWidth="1"/>
    <col min="15884" max="15885" width="10.42578125" customWidth="1"/>
    <col min="16140" max="16141" width="10.42578125" customWidth="1"/>
  </cols>
  <sheetData>
    <row r="1" spans="1:16" s="10" customFormat="1" x14ac:dyDescent="0.2">
      <c r="A1" s="10" t="s">
        <v>14</v>
      </c>
      <c r="C1" s="10" t="s">
        <v>15</v>
      </c>
      <c r="M1" s="19"/>
      <c r="N1" s="19"/>
    </row>
    <row r="2" spans="1:16" s="10" customFormat="1" x14ac:dyDescent="0.2">
      <c r="A2" s="10" t="s">
        <v>16</v>
      </c>
      <c r="B2" s="10" t="s">
        <v>10</v>
      </c>
      <c r="C2" s="10">
        <v>1E-3</v>
      </c>
      <c r="D2" s="10">
        <v>0.01</v>
      </c>
      <c r="E2" s="10">
        <v>0.06</v>
      </c>
      <c r="F2" s="10">
        <v>0.2</v>
      </c>
      <c r="G2" s="10">
        <v>0.6</v>
      </c>
      <c r="H2" s="10">
        <v>1</v>
      </c>
      <c r="I2" s="10">
        <v>2</v>
      </c>
      <c r="J2" s="10">
        <v>4</v>
      </c>
      <c r="K2" s="10">
        <v>6</v>
      </c>
      <c r="M2" s="19" t="s">
        <v>19</v>
      </c>
      <c r="N2" s="19" t="s">
        <v>20</v>
      </c>
      <c r="P2" s="10" t="s">
        <v>32</v>
      </c>
    </row>
    <row r="3" spans="1:16" x14ac:dyDescent="0.2">
      <c r="A3" s="9">
        <v>0.4</v>
      </c>
      <c r="C3" s="9">
        <v>2.4799999999999999E-2</v>
      </c>
      <c r="D3" s="9">
        <v>2.41E-2</v>
      </c>
      <c r="E3" s="9">
        <v>2.3E-2</v>
      </c>
      <c r="F3" s="9">
        <v>2.1399999999999999E-2</v>
      </c>
      <c r="G3" s="9">
        <v>1.8800000000000001E-2</v>
      </c>
      <c r="H3" s="9">
        <v>1.7000000000000001E-2</v>
      </c>
      <c r="I3" s="9">
        <v>1.38E-2</v>
      </c>
      <c r="J3" s="9">
        <v>0.01</v>
      </c>
      <c r="K3" s="9">
        <v>0.01</v>
      </c>
      <c r="M3" s="21">
        <f>A3*$M$23</f>
        <v>17.279999999999998</v>
      </c>
      <c r="N3" s="20">
        <f t="shared" ref="N3:N20" si="0">IF(INDEX($A$1:$K$46,ROW(),$P$3)="","",$N$23*INDEX($A$1:$K$46,ROW(),$P$3))</f>
        <v>1.2896897996531409E-3</v>
      </c>
      <c r="P3">
        <f>MATCH(Neuman!$G$11,$A$2:$K$2,0)</f>
        <v>5</v>
      </c>
    </row>
    <row r="4" spans="1:16" x14ac:dyDescent="0.2">
      <c r="A4" s="9">
        <v>0.8</v>
      </c>
      <c r="C4" s="9">
        <v>0.14499999999999999</v>
      </c>
      <c r="D4" s="9">
        <v>0.14000000000000001</v>
      </c>
      <c r="E4" s="9">
        <v>0.13100000000000001</v>
      </c>
      <c r="F4" s="9">
        <v>0.11899999999999999</v>
      </c>
      <c r="G4" s="9">
        <v>9.8799999999999999E-2</v>
      </c>
      <c r="H4" s="9">
        <v>8.4900000000000003E-2</v>
      </c>
      <c r="I4" s="9">
        <v>6.0299999999999999E-2</v>
      </c>
      <c r="J4" s="9">
        <v>3.1699999999999999E-2</v>
      </c>
      <c r="K4" s="9">
        <v>1.7399999999999999E-2</v>
      </c>
      <c r="L4" s="9"/>
      <c r="M4" s="21">
        <f t="shared" ref="M4:M20" si="1">A4*$M$23</f>
        <v>34.559999999999995</v>
      </c>
      <c r="N4" s="20">
        <f t="shared" si="0"/>
        <v>7.3456245110678896E-3</v>
      </c>
    </row>
    <row r="5" spans="1:16" x14ac:dyDescent="0.2">
      <c r="A5" s="9">
        <v>1.4</v>
      </c>
      <c r="C5" s="9">
        <v>0.35799999999999998</v>
      </c>
      <c r="D5" s="9">
        <v>0.34499999999999997</v>
      </c>
      <c r="E5" s="9">
        <v>0.31780000000000003</v>
      </c>
      <c r="F5" s="9">
        <v>0.27900000000000003</v>
      </c>
      <c r="G5" s="9">
        <v>0.217</v>
      </c>
      <c r="H5" s="9">
        <v>0.17499999999999999</v>
      </c>
      <c r="I5" s="9">
        <v>0.107</v>
      </c>
      <c r="J5" s="9">
        <v>4.4499999999999998E-2</v>
      </c>
      <c r="K5" s="9">
        <v>2.1000000000000001E-2</v>
      </c>
      <c r="L5" s="9"/>
      <c r="M5" s="21">
        <f t="shared" si="1"/>
        <v>60.47999999999999</v>
      </c>
      <c r="N5" s="20">
        <f t="shared" si="0"/>
        <v>1.78201486230334E-2</v>
      </c>
    </row>
    <row r="6" spans="1:16" x14ac:dyDescent="0.2">
      <c r="A6" s="9">
        <v>2.4</v>
      </c>
      <c r="C6" s="9">
        <v>0.66200000000000003</v>
      </c>
      <c r="D6" s="9">
        <v>0.63300000000000001</v>
      </c>
      <c r="E6" s="9">
        <v>0.56999999999999995</v>
      </c>
      <c r="F6" s="9">
        <v>0.48299999999999998</v>
      </c>
      <c r="G6" s="9">
        <v>0.34300000000000003</v>
      </c>
      <c r="H6" s="9">
        <v>0.25600000000000001</v>
      </c>
      <c r="I6" s="9">
        <v>0.13300000000000001</v>
      </c>
      <c r="J6" s="9">
        <v>4.7600000000000003E-2</v>
      </c>
      <c r="K6" s="9">
        <v>2.1399999999999999E-2</v>
      </c>
      <c r="L6" s="9"/>
      <c r="M6" s="21">
        <f t="shared" si="1"/>
        <v>103.67999999999999</v>
      </c>
      <c r="N6" s="20">
        <f t="shared" si="0"/>
        <v>3.1961877643577837E-2</v>
      </c>
    </row>
    <row r="7" spans="1:16" x14ac:dyDescent="0.2">
      <c r="A7" s="9">
        <v>4</v>
      </c>
      <c r="C7" s="9">
        <v>1.02</v>
      </c>
      <c r="D7" s="9">
        <v>0.96299999999999997</v>
      </c>
      <c r="E7" s="9">
        <v>0.84899999999999998</v>
      </c>
      <c r="F7" s="9">
        <v>0.68799999999999994</v>
      </c>
      <c r="G7" s="9">
        <v>0.438</v>
      </c>
      <c r="H7" s="9">
        <v>0.3</v>
      </c>
      <c r="I7" s="9">
        <v>0.14000000000000001</v>
      </c>
      <c r="J7" s="9">
        <v>4.7800000000000002E-2</v>
      </c>
      <c r="K7" s="9">
        <v>2.1499999999999998E-2</v>
      </c>
      <c r="L7" s="9"/>
      <c r="M7" s="21">
        <f t="shared" si="1"/>
        <v>172.79999999999998</v>
      </c>
      <c r="N7" s="20">
        <f t="shared" si="0"/>
        <v>4.7606375648065941E-2</v>
      </c>
    </row>
    <row r="8" spans="1:16" x14ac:dyDescent="0.2">
      <c r="A8" s="9">
        <v>8</v>
      </c>
      <c r="C8" s="9">
        <v>1.57</v>
      </c>
      <c r="D8" s="9">
        <v>1.46</v>
      </c>
      <c r="E8" s="9">
        <v>1.23</v>
      </c>
      <c r="F8" s="9">
        <v>0.91800000000000004</v>
      </c>
      <c r="G8" s="9">
        <v>0.497</v>
      </c>
      <c r="H8" s="9">
        <v>0.317</v>
      </c>
      <c r="I8" s="9">
        <v>0.14099999999999999</v>
      </c>
      <c r="J8" s="9">
        <v>4.7800000000000002E-2</v>
      </c>
      <c r="K8" s="9">
        <v>2.1499999999999998E-2</v>
      </c>
      <c r="L8" s="9"/>
      <c r="M8" s="21">
        <f t="shared" si="1"/>
        <v>345.59999999999997</v>
      </c>
      <c r="N8" s="20">
        <f t="shared" si="0"/>
        <v>6.8970367546667966E-2</v>
      </c>
    </row>
    <row r="9" spans="1:16" x14ac:dyDescent="0.2">
      <c r="A9" s="9">
        <v>14</v>
      </c>
      <c r="C9" s="9">
        <v>2.0499999999999998</v>
      </c>
      <c r="D9" s="9">
        <v>1.88</v>
      </c>
      <c r="E9" s="9">
        <v>1.51</v>
      </c>
      <c r="F9" s="9">
        <v>1.03</v>
      </c>
      <c r="G9" s="9">
        <v>0.50700000000000001</v>
      </c>
      <c r="H9" s="9">
        <v>0.317</v>
      </c>
      <c r="I9" s="9">
        <v>0.14099999999999999</v>
      </c>
      <c r="J9" s="9">
        <v>4.7800000000000002E-2</v>
      </c>
      <c r="K9" s="9">
        <v>2.1499999999999998E-2</v>
      </c>
      <c r="L9" s="9"/>
      <c r="M9" s="21">
        <f t="shared" si="1"/>
        <v>604.79999999999995</v>
      </c>
      <c r="N9" s="20">
        <f t="shared" si="0"/>
        <v>8.4670939020706215E-2</v>
      </c>
    </row>
    <row r="10" spans="1:16" x14ac:dyDescent="0.2">
      <c r="A10" s="9">
        <v>24</v>
      </c>
      <c r="C10" s="9">
        <v>2.52</v>
      </c>
      <c r="D10" s="9">
        <v>2.27</v>
      </c>
      <c r="E10" s="9">
        <v>1.73</v>
      </c>
      <c r="F10" s="9">
        <v>1.07</v>
      </c>
      <c r="G10" s="9">
        <v>0.50700000000000001</v>
      </c>
      <c r="H10" s="9">
        <v>0.317</v>
      </c>
      <c r="I10" s="9">
        <v>0.14099999999999999</v>
      </c>
      <c r="J10" s="9">
        <v>4.7800000000000002E-2</v>
      </c>
      <c r="K10" s="9">
        <v>2.1499999999999998E-2</v>
      </c>
      <c r="L10" s="9"/>
      <c r="M10" s="21">
        <f t="shared" si="1"/>
        <v>1036.8</v>
      </c>
      <c r="N10" s="20">
        <f t="shared" si="0"/>
        <v>9.7007102321736247E-2</v>
      </c>
    </row>
    <row r="11" spans="1:16" x14ac:dyDescent="0.2">
      <c r="A11" s="9">
        <v>40</v>
      </c>
      <c r="C11" s="9">
        <v>2.97</v>
      </c>
      <c r="D11" s="9">
        <v>2.61</v>
      </c>
      <c r="E11" s="9">
        <v>1.85</v>
      </c>
      <c r="F11" s="9">
        <v>1.08</v>
      </c>
      <c r="G11" s="9">
        <v>0.50700000000000001</v>
      </c>
      <c r="H11" s="9">
        <v>0.317</v>
      </c>
      <c r="I11" s="9">
        <v>0.14099999999999999</v>
      </c>
      <c r="J11" s="9">
        <v>4.7800000000000002E-2</v>
      </c>
      <c r="K11" s="9">
        <v>2.1499999999999998E-2</v>
      </c>
      <c r="L11" s="9"/>
      <c r="M11" s="21">
        <f t="shared" si="1"/>
        <v>1727.9999999999998</v>
      </c>
      <c r="N11" s="20">
        <f t="shared" si="0"/>
        <v>0.10373591866775264</v>
      </c>
    </row>
    <row r="12" spans="1:16" x14ac:dyDescent="0.2">
      <c r="A12" s="9">
        <v>80</v>
      </c>
      <c r="C12" s="9">
        <v>3.56</v>
      </c>
      <c r="D12" s="9">
        <v>3</v>
      </c>
      <c r="E12" s="9">
        <v>1.92</v>
      </c>
      <c r="F12" s="9">
        <v>1.08</v>
      </c>
      <c r="G12" s="9">
        <v>0.50700000000000001</v>
      </c>
      <c r="H12" s="9">
        <v>0.317</v>
      </c>
      <c r="I12" s="9">
        <v>0.14099999999999999</v>
      </c>
      <c r="J12" s="9">
        <v>4.7800000000000002E-2</v>
      </c>
      <c r="K12" s="9">
        <v>2.1499999999999998E-2</v>
      </c>
      <c r="L12" s="9"/>
      <c r="M12" s="21">
        <f t="shared" si="1"/>
        <v>3455.9999999999995</v>
      </c>
      <c r="N12" s="20">
        <f t="shared" si="0"/>
        <v>0.10766106153626219</v>
      </c>
    </row>
    <row r="13" spans="1:16" x14ac:dyDescent="0.2">
      <c r="A13" s="9">
        <v>140</v>
      </c>
      <c r="C13" s="9">
        <v>4.01</v>
      </c>
      <c r="D13" s="9">
        <v>3.23</v>
      </c>
      <c r="E13" s="9">
        <v>1.93</v>
      </c>
      <c r="F13" s="9">
        <v>1.08</v>
      </c>
      <c r="G13" s="9">
        <v>0.50700000000000001</v>
      </c>
      <c r="H13" s="9">
        <v>0.317</v>
      </c>
      <c r="I13" s="9">
        <v>0.14099999999999999</v>
      </c>
      <c r="J13" s="9">
        <v>4.7800000000000002E-2</v>
      </c>
      <c r="K13" s="9">
        <v>2.1499999999999998E-2</v>
      </c>
      <c r="L13" s="9"/>
      <c r="M13" s="21">
        <f t="shared" si="1"/>
        <v>6047.9999999999991</v>
      </c>
      <c r="N13" s="20">
        <f t="shared" si="0"/>
        <v>0.10822179623176356</v>
      </c>
    </row>
    <row r="14" spans="1:16" x14ac:dyDescent="0.2">
      <c r="A14" s="9">
        <v>240</v>
      </c>
      <c r="C14" s="9">
        <v>4.42</v>
      </c>
      <c r="D14" s="9">
        <v>3.37</v>
      </c>
      <c r="E14" s="9">
        <v>1.94</v>
      </c>
      <c r="F14" s="9">
        <v>1.08</v>
      </c>
      <c r="G14" s="9">
        <v>0.50700000000000001</v>
      </c>
      <c r="H14" s="9">
        <v>0.317</v>
      </c>
      <c r="I14" s="9">
        <v>0.14099999999999999</v>
      </c>
      <c r="J14" s="9">
        <v>4.7800000000000002E-2</v>
      </c>
      <c r="K14" s="9">
        <v>2.1499999999999998E-2</v>
      </c>
      <c r="L14" s="9"/>
      <c r="M14" s="21">
        <f t="shared" si="1"/>
        <v>10367.999999999998</v>
      </c>
      <c r="N14" s="20">
        <f t="shared" si="0"/>
        <v>0.10878253092726493</v>
      </c>
    </row>
    <row r="15" spans="1:16" x14ac:dyDescent="0.2">
      <c r="A15" s="9">
        <v>400</v>
      </c>
      <c r="C15" s="9">
        <v>4.7699999999999996</v>
      </c>
      <c r="D15" s="9">
        <v>3.43</v>
      </c>
      <c r="E15" s="9">
        <v>1.94</v>
      </c>
      <c r="F15" s="9">
        <v>1.08</v>
      </c>
      <c r="G15" s="9">
        <v>0.50700000000000001</v>
      </c>
      <c r="H15" s="9">
        <v>0.317</v>
      </c>
      <c r="I15" s="9">
        <v>0.14099999999999999</v>
      </c>
      <c r="J15" s="9">
        <v>4.7800000000000002E-2</v>
      </c>
      <c r="K15" s="9">
        <v>2.1499999999999998E-2</v>
      </c>
      <c r="L15" s="9"/>
      <c r="M15" s="21">
        <f t="shared" si="1"/>
        <v>17280</v>
      </c>
      <c r="N15" s="20">
        <f t="shared" si="0"/>
        <v>0.10878253092726493</v>
      </c>
    </row>
    <row r="16" spans="1:16" x14ac:dyDescent="0.2">
      <c r="A16" s="9">
        <v>800</v>
      </c>
      <c r="C16" s="9">
        <v>5.16</v>
      </c>
      <c r="D16" s="9">
        <v>3.45</v>
      </c>
      <c r="E16" s="9">
        <v>1.94</v>
      </c>
      <c r="F16" s="9">
        <v>1.08</v>
      </c>
      <c r="G16" s="9">
        <v>0.50700000000000001</v>
      </c>
      <c r="H16" s="9">
        <v>0.317</v>
      </c>
      <c r="I16" s="9">
        <v>0.14099999999999999</v>
      </c>
      <c r="J16" s="9">
        <v>4.7800000000000002E-2</v>
      </c>
      <c r="K16" s="9">
        <v>2.1499999999999998E-2</v>
      </c>
      <c r="L16" s="9"/>
      <c r="M16" s="21">
        <f t="shared" si="1"/>
        <v>34560</v>
      </c>
      <c r="N16" s="20">
        <f t="shared" si="0"/>
        <v>0.10878253092726493</v>
      </c>
    </row>
    <row r="17" spans="1:16" x14ac:dyDescent="0.2">
      <c r="A17" s="9">
        <v>1400</v>
      </c>
      <c r="C17" s="9">
        <v>5.4</v>
      </c>
      <c r="D17" s="9">
        <v>3.46</v>
      </c>
      <c r="E17" s="9">
        <v>1.94</v>
      </c>
      <c r="F17" s="9">
        <v>1.08</v>
      </c>
      <c r="G17" s="9">
        <v>0.50700000000000001</v>
      </c>
      <c r="H17" s="9">
        <v>0.317</v>
      </c>
      <c r="I17" s="9">
        <v>0.14099999999999999</v>
      </c>
      <c r="J17" s="9">
        <v>4.7800000000000002E-2</v>
      </c>
      <c r="K17" s="9">
        <v>2.1499999999999998E-2</v>
      </c>
      <c r="L17" s="9"/>
      <c r="M17" s="21">
        <f t="shared" si="1"/>
        <v>60479.999999999993</v>
      </c>
      <c r="N17" s="20">
        <f t="shared" si="0"/>
        <v>0.10878253092726493</v>
      </c>
    </row>
    <row r="18" spans="1:16" x14ac:dyDescent="0.2">
      <c r="A18" s="9">
        <v>2400</v>
      </c>
      <c r="C18" s="9">
        <v>5.54</v>
      </c>
      <c r="D18" s="9">
        <v>3.46</v>
      </c>
      <c r="E18" s="9">
        <v>1.94</v>
      </c>
      <c r="F18" s="9">
        <v>1.08</v>
      </c>
      <c r="G18" s="9">
        <v>0.50700000000000001</v>
      </c>
      <c r="H18" s="9">
        <v>0.317</v>
      </c>
      <c r="I18" s="9">
        <v>0.14099999999999999</v>
      </c>
      <c r="J18" s="9">
        <v>4.7800000000000002E-2</v>
      </c>
      <c r="K18" s="9">
        <v>2.1499999999999998E-2</v>
      </c>
      <c r="L18" s="9"/>
      <c r="M18" s="21">
        <f t="shared" si="1"/>
        <v>103679.99999999999</v>
      </c>
      <c r="N18" s="20">
        <f t="shared" si="0"/>
        <v>0.10878253092726493</v>
      </c>
    </row>
    <row r="19" spans="1:16" x14ac:dyDescent="0.2">
      <c r="A19" s="9">
        <v>4000</v>
      </c>
      <c r="C19" s="9">
        <v>5.59</v>
      </c>
      <c r="D19" s="9">
        <v>3.46</v>
      </c>
      <c r="E19" s="9">
        <v>1.94</v>
      </c>
      <c r="F19" s="9">
        <v>1.08</v>
      </c>
      <c r="G19" s="9">
        <v>0.50700000000000001</v>
      </c>
      <c r="H19" s="9">
        <v>0.317</v>
      </c>
      <c r="I19" s="9">
        <v>0.14099999999999999</v>
      </c>
      <c r="J19" s="9">
        <v>4.7800000000000002E-2</v>
      </c>
      <c r="K19" s="9"/>
      <c r="L19" s="9"/>
      <c r="M19" s="21">
        <f t="shared" si="1"/>
        <v>172799.99999999997</v>
      </c>
      <c r="N19" s="20">
        <f t="shared" si="0"/>
        <v>0.10878253092726493</v>
      </c>
    </row>
    <row r="20" spans="1:16" x14ac:dyDescent="0.2">
      <c r="A20" s="9">
        <v>8000</v>
      </c>
      <c r="C20" s="9">
        <v>5.62</v>
      </c>
      <c r="D20" s="9"/>
      <c r="E20" s="9"/>
      <c r="F20" s="9"/>
      <c r="G20" s="9"/>
      <c r="H20" s="9"/>
      <c r="I20" s="9"/>
      <c r="J20" s="9"/>
      <c r="K20" s="9"/>
      <c r="L20" s="9"/>
      <c r="M20" s="21">
        <f t="shared" si="1"/>
        <v>345599.99999999994</v>
      </c>
      <c r="N20" s="20" t="str">
        <f t="shared" si="0"/>
        <v/>
      </c>
    </row>
    <row r="21" spans="1:16" x14ac:dyDescent="0.2">
      <c r="A21" s="9"/>
      <c r="D21" s="9"/>
      <c r="E21" s="9"/>
      <c r="F21" s="9"/>
      <c r="G21" s="9"/>
      <c r="H21" s="9"/>
      <c r="I21" s="9"/>
      <c r="J21" s="9"/>
      <c r="K21" s="9"/>
    </row>
    <row r="22" spans="1:16" x14ac:dyDescent="0.2">
      <c r="A22" s="9"/>
      <c r="D22" s="9"/>
      <c r="E22" s="9"/>
      <c r="F22" s="9"/>
      <c r="G22" s="9"/>
      <c r="H22" s="9"/>
      <c r="I22" s="9"/>
      <c r="J22" s="9"/>
      <c r="K22" s="9"/>
      <c r="M22" s="19" t="s">
        <v>21</v>
      </c>
      <c r="N22" s="19" t="s">
        <v>22</v>
      </c>
    </row>
    <row r="23" spans="1:16" x14ac:dyDescent="0.2">
      <c r="A23" s="9"/>
      <c r="D23" s="9"/>
      <c r="E23" s="9"/>
      <c r="F23" s="9"/>
      <c r="G23" s="9"/>
      <c r="H23" s="9"/>
      <c r="I23" s="9"/>
      <c r="J23" s="9"/>
      <c r="K23" s="9"/>
      <c r="M23" s="20">
        <f>Neuman!B11^2*Neuman!D11/(4*Neuman!C11)</f>
        <v>43.199999999999996</v>
      </c>
      <c r="N23" s="20">
        <f>Neuman!A11/(4*PI()*Neuman!C11)</f>
        <v>5.6073469550136562E-2</v>
      </c>
    </row>
    <row r="24" spans="1:16" x14ac:dyDescent="0.2">
      <c r="A24" s="9"/>
      <c r="D24" s="9"/>
      <c r="E24" s="9"/>
      <c r="F24" s="9"/>
      <c r="G24" s="9"/>
      <c r="H24" s="9"/>
      <c r="I24" s="9"/>
      <c r="J24" s="9"/>
      <c r="K24" s="9"/>
    </row>
    <row r="25" spans="1:16" s="10" customFormat="1" x14ac:dyDescent="0.2">
      <c r="A25" s="18" t="s">
        <v>17</v>
      </c>
      <c r="M25" s="19" t="s">
        <v>19</v>
      </c>
      <c r="N25" s="19" t="s">
        <v>20</v>
      </c>
      <c r="P25"/>
    </row>
    <row r="26" spans="1:16" x14ac:dyDescent="0.2">
      <c r="A26" s="9">
        <v>1.4E-2</v>
      </c>
      <c r="I26">
        <v>0.14499999999999999</v>
      </c>
      <c r="J26">
        <v>5.0900000000000001E-2</v>
      </c>
      <c r="K26">
        <v>2.3900000000000001E-2</v>
      </c>
      <c r="M26" s="21">
        <f t="shared" ref="M26:M37" si="2">A26*$M$49</f>
        <v>9.4080000000000013</v>
      </c>
      <c r="N26" s="20" t="str">
        <f>IF(INDEX($A$1:$K$46,ROW(),$P$3)="","",$N$49*INDEX($A$1:$K$46,ROW(),$P$3))</f>
        <v/>
      </c>
    </row>
    <row r="27" spans="1:16" x14ac:dyDescent="0.2">
      <c r="A27" s="9">
        <v>2.4E-2</v>
      </c>
      <c r="D27">
        <v>3.46</v>
      </c>
      <c r="E27">
        <v>1.94</v>
      </c>
      <c r="F27">
        <v>1.0900000000000001</v>
      </c>
      <c r="G27">
        <v>0.51200000000000001</v>
      </c>
      <c r="H27">
        <v>0.32300000000000001</v>
      </c>
      <c r="I27">
        <v>0.14699999999999999</v>
      </c>
      <c r="J27">
        <v>5.3199999999999997E-2</v>
      </c>
      <c r="K27">
        <v>2.5700000000000001E-2</v>
      </c>
      <c r="M27" s="21">
        <f t="shared" si="2"/>
        <v>16.128000000000004</v>
      </c>
      <c r="N27" s="20">
        <f t="shared" ref="N27:N46" si="3">IF(INDEX($A$1:$K$46,ROW(),$P$3)="","",$N$23*INDEX($A$1:$K$46,ROW(),$P$3))</f>
        <v>0.10878253092726493</v>
      </c>
    </row>
    <row r="28" spans="1:16" x14ac:dyDescent="0.2">
      <c r="A28" s="9">
        <v>0.04</v>
      </c>
      <c r="C28">
        <v>5.62</v>
      </c>
      <c r="D28">
        <v>3.46</v>
      </c>
      <c r="E28">
        <v>1.94</v>
      </c>
      <c r="F28">
        <v>1.0900000000000001</v>
      </c>
      <c r="G28">
        <v>0.51600000000000001</v>
      </c>
      <c r="H28">
        <v>0.32700000000000001</v>
      </c>
      <c r="I28">
        <v>0.152</v>
      </c>
      <c r="J28">
        <v>5.6800000000000003E-2</v>
      </c>
      <c r="K28">
        <v>2.86E-2</v>
      </c>
      <c r="M28" s="21">
        <f t="shared" si="2"/>
        <v>26.880000000000006</v>
      </c>
      <c r="N28" s="20">
        <f t="shared" si="3"/>
        <v>0.10878253092726493</v>
      </c>
    </row>
    <row r="29" spans="1:16" x14ac:dyDescent="0.2">
      <c r="A29" s="9">
        <v>0.08</v>
      </c>
      <c r="C29">
        <v>5.62</v>
      </c>
      <c r="D29">
        <v>3.46</v>
      </c>
      <c r="E29">
        <v>1.94</v>
      </c>
      <c r="F29">
        <v>1.0900000000000001</v>
      </c>
      <c r="G29">
        <v>0.52400000000000002</v>
      </c>
      <c r="H29">
        <v>0.33700000000000002</v>
      </c>
      <c r="I29">
        <v>0.16200000000000001</v>
      </c>
      <c r="J29">
        <v>6.6100000000000006E-2</v>
      </c>
      <c r="K29">
        <v>3.6200000000000003E-2</v>
      </c>
      <c r="M29" s="21">
        <f t="shared" si="2"/>
        <v>53.760000000000012</v>
      </c>
      <c r="N29" s="20">
        <f t="shared" si="3"/>
        <v>0.10878253092726493</v>
      </c>
    </row>
    <row r="30" spans="1:16" x14ac:dyDescent="0.2">
      <c r="A30" s="9">
        <v>0.14000000000000001</v>
      </c>
      <c r="C30">
        <v>5.62</v>
      </c>
      <c r="D30">
        <v>3.46</v>
      </c>
      <c r="E30">
        <v>1.94</v>
      </c>
      <c r="F30">
        <v>1.1000000000000001</v>
      </c>
      <c r="G30">
        <v>0.53700000000000003</v>
      </c>
      <c r="H30">
        <v>0.35</v>
      </c>
      <c r="I30">
        <v>0.17799999999999999</v>
      </c>
      <c r="J30">
        <v>8.0600000000000005E-2</v>
      </c>
      <c r="K30">
        <v>4.8599999999999997E-2</v>
      </c>
      <c r="M30" s="21">
        <f t="shared" si="2"/>
        <v>94.080000000000027</v>
      </c>
      <c r="N30" s="20">
        <f t="shared" si="3"/>
        <v>0.10878253092726493</v>
      </c>
    </row>
    <row r="31" spans="1:16" x14ac:dyDescent="0.2">
      <c r="A31" s="9">
        <v>0.24</v>
      </c>
      <c r="C31">
        <v>5.62</v>
      </c>
      <c r="D31">
        <v>3.46</v>
      </c>
      <c r="E31">
        <v>1.95</v>
      </c>
      <c r="F31">
        <v>1.1100000000000001</v>
      </c>
      <c r="G31">
        <v>0.55700000000000005</v>
      </c>
      <c r="H31">
        <v>0.374</v>
      </c>
      <c r="I31">
        <v>0.20499999999999999</v>
      </c>
      <c r="J31">
        <v>0.106</v>
      </c>
      <c r="K31">
        <v>7.1400000000000005E-2</v>
      </c>
      <c r="M31" s="21">
        <f t="shared" si="2"/>
        <v>161.28000000000003</v>
      </c>
      <c r="N31" s="20">
        <f t="shared" si="3"/>
        <v>0.10934326562276629</v>
      </c>
    </row>
    <row r="32" spans="1:16" x14ac:dyDescent="0.2">
      <c r="A32" s="9">
        <v>0.4</v>
      </c>
      <c r="C32">
        <v>5.62</v>
      </c>
      <c r="D32">
        <v>3.46</v>
      </c>
      <c r="E32">
        <v>1.96</v>
      </c>
      <c r="F32">
        <v>1.1299999999999999</v>
      </c>
      <c r="G32">
        <v>0.58899999999999997</v>
      </c>
      <c r="H32">
        <v>0.41199999999999998</v>
      </c>
      <c r="I32">
        <v>0.248</v>
      </c>
      <c r="J32">
        <v>0.14899999999999999</v>
      </c>
      <c r="K32">
        <v>0.113</v>
      </c>
      <c r="M32" s="21">
        <f t="shared" si="2"/>
        <v>268.80000000000007</v>
      </c>
      <c r="N32" s="20">
        <f t="shared" si="3"/>
        <v>0.10990400031826766</v>
      </c>
    </row>
    <row r="33" spans="1:14" x14ac:dyDescent="0.2">
      <c r="A33" s="9">
        <v>0.8</v>
      </c>
      <c r="C33">
        <v>5.62</v>
      </c>
      <c r="D33">
        <v>3.46</v>
      </c>
      <c r="E33">
        <v>1.98</v>
      </c>
      <c r="F33">
        <v>1.18</v>
      </c>
      <c r="G33">
        <v>0.66700000000000004</v>
      </c>
      <c r="H33">
        <v>0.50600000000000001</v>
      </c>
      <c r="I33">
        <v>0.35699999999999998</v>
      </c>
      <c r="J33">
        <v>0.26600000000000001</v>
      </c>
      <c r="K33">
        <v>0.23100000000000001</v>
      </c>
      <c r="M33" s="21">
        <f t="shared" si="2"/>
        <v>537.60000000000014</v>
      </c>
      <c r="N33" s="20">
        <f t="shared" si="3"/>
        <v>0.11102546970927039</v>
      </c>
    </row>
    <row r="34" spans="1:14" x14ac:dyDescent="0.2">
      <c r="A34" s="9">
        <v>1.4</v>
      </c>
      <c r="C34">
        <v>5.63</v>
      </c>
      <c r="D34">
        <v>3.47</v>
      </c>
      <c r="E34">
        <v>2.0099999999999998</v>
      </c>
      <c r="F34">
        <v>1.24</v>
      </c>
      <c r="G34">
        <v>0.78</v>
      </c>
      <c r="H34">
        <v>0.64200000000000002</v>
      </c>
      <c r="I34">
        <v>0.51700000000000002</v>
      </c>
      <c r="J34">
        <v>0.44500000000000001</v>
      </c>
      <c r="K34">
        <v>0.41899999999999998</v>
      </c>
      <c r="M34" s="21">
        <f t="shared" si="2"/>
        <v>940.80000000000007</v>
      </c>
      <c r="N34" s="20">
        <f t="shared" si="3"/>
        <v>0.11270767379577448</v>
      </c>
    </row>
    <row r="35" spans="1:14" x14ac:dyDescent="0.2">
      <c r="A35" s="9">
        <v>2.4</v>
      </c>
      <c r="C35">
        <v>5.63</v>
      </c>
      <c r="D35">
        <v>3.49</v>
      </c>
      <c r="E35">
        <v>2.06</v>
      </c>
      <c r="F35">
        <v>1.35</v>
      </c>
      <c r="G35">
        <v>0.95399999999999996</v>
      </c>
      <c r="H35">
        <v>0.85</v>
      </c>
      <c r="I35">
        <v>0.76300000000000001</v>
      </c>
      <c r="J35">
        <v>0.71799999999999997</v>
      </c>
      <c r="K35">
        <v>0.70299999999999996</v>
      </c>
      <c r="M35" s="21">
        <f t="shared" si="2"/>
        <v>1612.8000000000002</v>
      </c>
      <c r="N35" s="20">
        <f t="shared" si="3"/>
        <v>0.11551134727328131</v>
      </c>
    </row>
    <row r="36" spans="1:14" x14ac:dyDescent="0.2">
      <c r="A36" s="9">
        <v>4</v>
      </c>
      <c r="C36">
        <v>5.63</v>
      </c>
      <c r="D36">
        <v>3.51</v>
      </c>
      <c r="E36">
        <v>2.13</v>
      </c>
      <c r="F36">
        <v>1.5</v>
      </c>
      <c r="G36">
        <v>1.2</v>
      </c>
      <c r="H36">
        <v>1.1299999999999999</v>
      </c>
      <c r="I36">
        <v>1.08</v>
      </c>
      <c r="J36">
        <v>1.06</v>
      </c>
      <c r="K36">
        <v>1.05</v>
      </c>
      <c r="M36" s="21">
        <f t="shared" si="2"/>
        <v>2688.0000000000005</v>
      </c>
      <c r="N36" s="20">
        <f t="shared" si="3"/>
        <v>0.11943649014179088</v>
      </c>
    </row>
    <row r="37" spans="1:14" x14ac:dyDescent="0.2">
      <c r="A37" s="9">
        <v>8</v>
      </c>
      <c r="C37">
        <v>5.64</v>
      </c>
      <c r="D37">
        <v>3.56</v>
      </c>
      <c r="E37">
        <v>2.31</v>
      </c>
      <c r="F37">
        <v>1.85</v>
      </c>
      <c r="G37">
        <v>1.68</v>
      </c>
      <c r="H37">
        <v>1.65</v>
      </c>
      <c r="I37">
        <v>1.63</v>
      </c>
      <c r="M37" s="21">
        <f t="shared" si="2"/>
        <v>5376.0000000000009</v>
      </c>
      <c r="N37" s="20">
        <f t="shared" si="3"/>
        <v>0.12952971466081545</v>
      </c>
    </row>
    <row r="38" spans="1:14" x14ac:dyDescent="0.2">
      <c r="A38" s="9">
        <v>14</v>
      </c>
      <c r="C38">
        <v>5.65</v>
      </c>
      <c r="D38">
        <v>3.63</v>
      </c>
      <c r="E38">
        <v>2.5499999999999998</v>
      </c>
      <c r="F38">
        <v>2.23</v>
      </c>
      <c r="G38">
        <v>2.15</v>
      </c>
      <c r="M38" s="21">
        <f>A38*$M$49</f>
        <v>9408.0000000000018</v>
      </c>
      <c r="N38" s="20">
        <f t="shared" si="3"/>
        <v>0.14298734735284821</v>
      </c>
    </row>
    <row r="39" spans="1:14" x14ac:dyDescent="0.2">
      <c r="A39" s="9">
        <v>24</v>
      </c>
      <c r="C39">
        <v>5.67</v>
      </c>
      <c r="D39">
        <v>3.74</v>
      </c>
      <c r="E39">
        <v>2.86</v>
      </c>
      <c r="F39">
        <v>2.68</v>
      </c>
      <c r="G39">
        <v>2.65</v>
      </c>
      <c r="M39" s="21">
        <f t="shared" ref="M39:M46" si="4">A39*$M$49</f>
        <v>16128.000000000004</v>
      </c>
      <c r="N39" s="20">
        <f t="shared" si="3"/>
        <v>0.16037012291339056</v>
      </c>
    </row>
    <row r="40" spans="1:14" x14ac:dyDescent="0.2">
      <c r="A40" s="9">
        <v>40</v>
      </c>
      <c r="C40">
        <v>5.7</v>
      </c>
      <c r="D40">
        <v>3.9</v>
      </c>
      <c r="E40">
        <v>3.24</v>
      </c>
      <c r="F40">
        <v>3.15</v>
      </c>
      <c r="M40" s="21">
        <f t="shared" si="4"/>
        <v>26880.000000000004</v>
      </c>
      <c r="N40" s="20">
        <f t="shared" si="3"/>
        <v>0.18167804134244248</v>
      </c>
    </row>
    <row r="41" spans="1:14" x14ac:dyDescent="0.2">
      <c r="A41" s="9">
        <v>80</v>
      </c>
      <c r="C41">
        <v>5.76</v>
      </c>
      <c r="D41">
        <v>4.22</v>
      </c>
      <c r="E41">
        <v>3.85</v>
      </c>
      <c r="F41">
        <v>3.82</v>
      </c>
      <c r="M41" s="21">
        <f t="shared" si="4"/>
        <v>53760.000000000007</v>
      </c>
      <c r="N41" s="20">
        <f t="shared" si="3"/>
        <v>0.21588285776802577</v>
      </c>
    </row>
    <row r="42" spans="1:14" x14ac:dyDescent="0.2">
      <c r="A42" s="9">
        <v>140</v>
      </c>
      <c r="C42">
        <v>5.85</v>
      </c>
      <c r="D42">
        <v>4.58</v>
      </c>
      <c r="E42">
        <v>4.38</v>
      </c>
      <c r="M42" s="21">
        <f t="shared" si="4"/>
        <v>94080.000000000015</v>
      </c>
      <c r="N42" s="20">
        <f t="shared" si="3"/>
        <v>0.24560179662959813</v>
      </c>
    </row>
    <row r="43" spans="1:14" x14ac:dyDescent="0.2">
      <c r="A43" s="9">
        <v>240</v>
      </c>
      <c r="C43">
        <v>5.99</v>
      </c>
      <c r="D43">
        <v>5</v>
      </c>
      <c r="E43">
        <v>4.91</v>
      </c>
      <c r="M43" s="21">
        <f t="shared" si="4"/>
        <v>161280.00000000003</v>
      </c>
      <c r="N43" s="20">
        <f t="shared" si="3"/>
        <v>0.27532073549117053</v>
      </c>
    </row>
    <row r="44" spans="1:14" x14ac:dyDescent="0.2">
      <c r="A44" s="9">
        <v>400</v>
      </c>
      <c r="C44">
        <v>6.16</v>
      </c>
      <c r="D44">
        <v>5.46</v>
      </c>
      <c r="M44" s="21">
        <f t="shared" si="4"/>
        <v>268800.00000000006</v>
      </c>
      <c r="N44" s="20" t="str">
        <f t="shared" si="3"/>
        <v/>
      </c>
    </row>
    <row r="45" spans="1:14" x14ac:dyDescent="0.2">
      <c r="A45" s="9">
        <v>800</v>
      </c>
      <c r="C45">
        <v>6.47</v>
      </c>
      <c r="D45">
        <v>6.11</v>
      </c>
      <c r="M45" s="21">
        <f t="shared" si="4"/>
        <v>537600.00000000012</v>
      </c>
      <c r="N45" s="20" t="str">
        <f t="shared" si="3"/>
        <v/>
      </c>
    </row>
    <row r="46" spans="1:14" x14ac:dyDescent="0.2">
      <c r="A46" s="9">
        <v>1000</v>
      </c>
      <c r="C46">
        <v>6.6</v>
      </c>
      <c r="D46">
        <v>6.5</v>
      </c>
      <c r="M46" s="21">
        <f t="shared" si="4"/>
        <v>672000.00000000012</v>
      </c>
      <c r="N46" s="20" t="str">
        <f t="shared" si="3"/>
        <v/>
      </c>
    </row>
    <row r="47" spans="1:14" x14ac:dyDescent="0.2">
      <c r="A47" s="9"/>
    </row>
    <row r="48" spans="1:14" x14ac:dyDescent="0.2">
      <c r="A48" s="9"/>
      <c r="M48" s="19" t="s">
        <v>31</v>
      </c>
      <c r="N48" s="19"/>
    </row>
    <row r="49" spans="1:13" x14ac:dyDescent="0.2">
      <c r="A49" s="9"/>
      <c r="M49" s="20">
        <f>Neuman!B11^2 * Neuman!$E$11/(4*Neuman!C11)</f>
        <v>672.00000000000011</v>
      </c>
    </row>
    <row r="50" spans="1:13" x14ac:dyDescent="0.2">
      <c r="A50" s="9"/>
    </row>
    <row r="51" spans="1:13" x14ac:dyDescent="0.2">
      <c r="A51" s="9"/>
    </row>
    <row r="52" spans="1:13" x14ac:dyDescent="0.2">
      <c r="A52" s="9"/>
    </row>
    <row r="53" spans="1:13" x14ac:dyDescent="0.2">
      <c r="A53" s="9"/>
      <c r="B53" s="26"/>
    </row>
    <row r="54" spans="1:13" x14ac:dyDescent="0.2">
      <c r="A54" s="9"/>
    </row>
    <row r="55" spans="1:13" x14ac:dyDescent="0.2">
      <c r="A55" s="9"/>
    </row>
    <row r="56" spans="1:13" x14ac:dyDescent="0.2">
      <c r="A56" s="9"/>
    </row>
  </sheetData>
  <sheetProtection password="EF5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Sheet</vt:lpstr>
      <vt:lpstr>Theis</vt:lpstr>
      <vt:lpstr>HantushJacob</vt:lpstr>
      <vt:lpstr>Hantush</vt:lpstr>
      <vt:lpstr>Neuman</vt:lpstr>
      <vt:lpstr>Theis Data</vt:lpstr>
      <vt:lpstr>HantushJacob Data</vt:lpstr>
      <vt:lpstr>Hantush Data</vt:lpstr>
      <vt:lpstr>Neuman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cfitts</cp:lastModifiedBy>
  <cp:lastPrinted>2008-08-11T05:29:25Z</cp:lastPrinted>
  <dcterms:created xsi:type="dcterms:W3CDTF">1999-08-30T21:12:27Z</dcterms:created>
  <dcterms:modified xsi:type="dcterms:W3CDTF">2011-12-14T16:01:33Z</dcterms:modified>
</cp:coreProperties>
</file>